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zsuzsa\Documents\Honlapra\"/>
    </mc:Choice>
  </mc:AlternateContent>
  <bookViews>
    <workbookView xWindow="0" yWindow="0" windowWidth="28800" windowHeight="11730" activeTab="3"/>
  </bookViews>
  <sheets>
    <sheet name="Földgáz " sheetId="2" r:id="rId1"/>
    <sheet name="Villamos energia " sheetId="1" r:id="rId2"/>
    <sheet name="Üzemanyag" sheetId="14" r:id="rId3"/>
    <sheet name="Adatok 22.C-hez" sheetId="15" r:id="rId4"/>
    <sheet name="Honlapra 2020. május 31-ig" sheetId="16" r:id="rId5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11" i="1" l="1"/>
  <c r="F111" i="1"/>
  <c r="G111" i="1"/>
  <c r="H111" i="1"/>
  <c r="I111" i="1"/>
  <c r="J111" i="1"/>
  <c r="K111" i="1"/>
  <c r="L111" i="1"/>
  <c r="M111" i="1"/>
  <c r="N111" i="1"/>
  <c r="O111" i="1"/>
  <c r="P111" i="1"/>
  <c r="E111" i="1"/>
  <c r="T111" i="1"/>
  <c r="T109" i="1" l="1"/>
  <c r="S102" i="1"/>
  <c r="T102" i="1"/>
  <c r="T58" i="1"/>
  <c r="T60" i="1"/>
  <c r="P16" i="1"/>
  <c r="P17" i="1"/>
  <c r="P18" i="1"/>
  <c r="P19" i="1"/>
  <c r="P73" i="1"/>
  <c r="P72" i="1"/>
  <c r="P69" i="1"/>
  <c r="P68" i="1"/>
  <c r="P9" i="1"/>
  <c r="P67" i="1"/>
  <c r="P65" i="1"/>
  <c r="P63" i="1"/>
  <c r="P57" i="1"/>
  <c r="P55" i="1"/>
  <c r="P50" i="1"/>
  <c r="P51" i="1"/>
  <c r="P49" i="1"/>
  <c r="P47" i="1"/>
  <c r="P46" i="1"/>
  <c r="P45" i="1"/>
  <c r="P5" i="1"/>
  <c r="P38" i="1"/>
  <c r="P32" i="1"/>
  <c r="P33" i="1"/>
  <c r="P75" i="1"/>
  <c r="P74" i="1"/>
  <c r="P29" i="1"/>
  <c r="P28" i="1"/>
  <c r="P25" i="1"/>
  <c r="K25" i="1"/>
  <c r="P24" i="1"/>
  <c r="P27" i="1"/>
  <c r="P26" i="1"/>
  <c r="P22" i="1"/>
  <c r="M22" i="1"/>
  <c r="P23" i="1"/>
  <c r="P21" i="1"/>
  <c r="P86" i="1"/>
  <c r="P87" i="1"/>
  <c r="P13" i="1"/>
  <c r="P99" i="1"/>
  <c r="P98" i="1"/>
  <c r="P85" i="1"/>
  <c r="P84" i="1"/>
  <c r="T78" i="1"/>
  <c r="P78" i="1"/>
  <c r="P79" i="1"/>
  <c r="P97" i="1"/>
  <c r="P96" i="1"/>
  <c r="P6" i="1"/>
  <c r="P7" i="1"/>
  <c r="P61" i="1"/>
  <c r="L60" i="1"/>
  <c r="P59" i="1"/>
  <c r="P30" i="1"/>
  <c r="P31" i="1"/>
  <c r="P39" i="1"/>
  <c r="P40" i="1"/>
  <c r="L40" i="1"/>
  <c r="P41" i="1"/>
  <c r="P93" i="1"/>
  <c r="P92" i="1"/>
  <c r="Q92" i="1" s="1"/>
  <c r="T92" i="1" s="1"/>
  <c r="F103" i="1"/>
  <c r="G103" i="1"/>
  <c r="H103" i="1"/>
  <c r="I103" i="1"/>
  <c r="J103" i="1"/>
  <c r="K103" i="1"/>
  <c r="L103" i="1"/>
  <c r="M103" i="1"/>
  <c r="N103" i="1"/>
  <c r="O103" i="1"/>
  <c r="E103" i="1"/>
  <c r="F102" i="1"/>
  <c r="G102" i="1"/>
  <c r="H102" i="1"/>
  <c r="I102" i="1"/>
  <c r="J102" i="1"/>
  <c r="K102" i="1"/>
  <c r="L102" i="1"/>
  <c r="M102" i="1"/>
  <c r="N102" i="1"/>
  <c r="O102" i="1"/>
  <c r="E102" i="1"/>
  <c r="Q93" i="1"/>
  <c r="P91" i="1"/>
  <c r="P90" i="1"/>
  <c r="N91" i="1"/>
  <c r="O91" i="1"/>
  <c r="P89" i="1"/>
  <c r="P103" i="1" l="1"/>
  <c r="P102" i="1"/>
  <c r="R93" i="1"/>
  <c r="P66" i="1"/>
  <c r="T48" i="1"/>
  <c r="T100" i="1"/>
  <c r="T4" i="1"/>
  <c r="P4" i="1"/>
  <c r="T94" i="1"/>
  <c r="P20" i="1"/>
  <c r="P36" i="1" l="1"/>
  <c r="P37" i="1"/>
  <c r="O99" i="1" l="1"/>
  <c r="O21" i="1"/>
  <c r="O17" i="1"/>
  <c r="L89" i="1"/>
  <c r="L88" i="1"/>
  <c r="M91" i="1"/>
  <c r="M90" i="1"/>
  <c r="O67" i="1" l="1"/>
  <c r="N67" i="1"/>
  <c r="M67" i="1"/>
  <c r="O69" i="1"/>
  <c r="O9" i="1"/>
  <c r="O33" i="1"/>
  <c r="L33" i="1"/>
  <c r="L32" i="1"/>
  <c r="O27" i="1"/>
  <c r="O73" i="1"/>
  <c r="N99" i="1"/>
  <c r="M99" i="1"/>
  <c r="L99" i="1"/>
  <c r="K99" i="1"/>
  <c r="Q99" i="1"/>
  <c r="Q98" i="1"/>
  <c r="T98" i="1" s="1"/>
  <c r="O23" i="1"/>
  <c r="O57" i="1"/>
  <c r="N57" i="1"/>
  <c r="O47" i="1"/>
  <c r="N51" i="1"/>
  <c r="O51" i="1"/>
  <c r="O63" i="1"/>
  <c r="O49" i="1"/>
  <c r="O65" i="1"/>
  <c r="O13" i="1"/>
  <c r="N13" i="1"/>
  <c r="O79" i="1"/>
  <c r="N29" i="1"/>
  <c r="O29" i="1"/>
  <c r="O75" i="1"/>
  <c r="O45" i="1"/>
  <c r="O55" i="1"/>
  <c r="O16" i="1"/>
  <c r="O19" i="1"/>
  <c r="O7" i="1"/>
  <c r="O101" i="1"/>
  <c r="N101" i="1"/>
  <c r="P101" i="1"/>
  <c r="O37" i="1"/>
  <c r="O31" i="1"/>
  <c r="O39" i="1"/>
  <c r="O41" i="1"/>
  <c r="J91" i="1"/>
  <c r="O83" i="1"/>
  <c r="M83" i="1"/>
  <c r="N83" i="1"/>
  <c r="N89" i="1"/>
  <c r="O89" i="1"/>
  <c r="O25" i="1"/>
  <c r="R99" i="1" l="1"/>
  <c r="N69" i="1"/>
  <c r="N9" i="1"/>
  <c r="N33" i="1"/>
  <c r="N27" i="1"/>
  <c r="N73" i="1"/>
  <c r="N23" i="1"/>
  <c r="N47" i="1"/>
  <c r="L51" i="1"/>
  <c r="M51" i="1"/>
  <c r="N63" i="1"/>
  <c r="N49" i="1"/>
  <c r="N65" i="1"/>
  <c r="N79" i="1"/>
  <c r="L29" i="1"/>
  <c r="M29" i="1"/>
  <c r="N28" i="1"/>
  <c r="N85" i="1"/>
  <c r="N5" i="1"/>
  <c r="M5" i="1"/>
  <c r="N75" i="1"/>
  <c r="N45" i="1"/>
  <c r="N55" i="1"/>
  <c r="N21" i="1"/>
  <c r="M21" i="1"/>
  <c r="L21" i="1"/>
  <c r="N17" i="1"/>
  <c r="M17" i="1"/>
  <c r="N19" i="1"/>
  <c r="N7" i="1"/>
  <c r="M7" i="1"/>
  <c r="Q101" i="1"/>
  <c r="Q100" i="1"/>
  <c r="N37" i="1"/>
  <c r="L37" i="1"/>
  <c r="L36" i="1"/>
  <c r="N31" i="1"/>
  <c r="N39" i="1"/>
  <c r="N41" i="1"/>
  <c r="N25" i="1"/>
  <c r="R101" i="1" l="1"/>
  <c r="M9" i="2"/>
  <c r="M8" i="2"/>
  <c r="B8" i="15" l="1"/>
  <c r="M69" i="1"/>
  <c r="L9" i="1"/>
  <c r="M9" i="1"/>
  <c r="M33" i="1"/>
  <c r="M27" i="1"/>
  <c r="M73" i="1"/>
  <c r="M23" i="1"/>
  <c r="M57" i="1"/>
  <c r="M47" i="1"/>
  <c r="M63" i="1"/>
  <c r="M49" i="1"/>
  <c r="M65" i="1"/>
  <c r="M13" i="1"/>
  <c r="L13" i="1"/>
  <c r="M79" i="1"/>
  <c r="M85" i="1"/>
  <c r="M75" i="1"/>
  <c r="M45" i="1"/>
  <c r="M55" i="1"/>
  <c r="M19" i="1"/>
  <c r="M31" i="1"/>
  <c r="M39" i="1"/>
  <c r="M41" i="1"/>
  <c r="M89" i="1"/>
  <c r="M25" i="1"/>
  <c r="M11" i="2"/>
  <c r="M10" i="2"/>
  <c r="M6" i="2"/>
  <c r="F15" i="2" l="1"/>
  <c r="G15" i="2"/>
  <c r="H15" i="2"/>
  <c r="I15" i="2"/>
  <c r="J15" i="2"/>
  <c r="K15" i="2"/>
  <c r="L15" i="2"/>
  <c r="M15" i="2"/>
  <c r="N15" i="2"/>
  <c r="O15" i="2"/>
  <c r="P15" i="2"/>
  <c r="F14" i="2"/>
  <c r="G14" i="2"/>
  <c r="H14" i="2"/>
  <c r="I14" i="2"/>
  <c r="J14" i="2"/>
  <c r="K14" i="2"/>
  <c r="L14" i="2"/>
  <c r="M14" i="2"/>
  <c r="N14" i="2"/>
  <c r="O14" i="2"/>
  <c r="P14" i="2"/>
  <c r="K9" i="2"/>
  <c r="K8" i="2"/>
  <c r="J13" i="2"/>
  <c r="J12" i="2"/>
  <c r="K11" i="2"/>
  <c r="J7" i="2"/>
  <c r="K67" i="1"/>
  <c r="K69" i="1"/>
  <c r="L69" i="1"/>
  <c r="J69" i="1"/>
  <c r="K9" i="1"/>
  <c r="J9" i="1"/>
  <c r="K33" i="1"/>
  <c r="J33" i="1"/>
  <c r="L27" i="1"/>
  <c r="K27" i="1"/>
  <c r="J27" i="1"/>
  <c r="L73" i="1"/>
  <c r="K73" i="1"/>
  <c r="J73" i="1"/>
  <c r="L23" i="1"/>
  <c r="K23" i="1"/>
  <c r="J23" i="1"/>
  <c r="K57" i="1"/>
  <c r="L47" i="1"/>
  <c r="K47" i="1"/>
  <c r="J47" i="1"/>
  <c r="K51" i="1"/>
  <c r="J51" i="1"/>
  <c r="L63" i="1"/>
  <c r="K63" i="1"/>
  <c r="J63" i="1"/>
  <c r="L49" i="1"/>
  <c r="K49" i="1"/>
  <c r="J49" i="1"/>
  <c r="L65" i="1"/>
  <c r="K65" i="1"/>
  <c r="J65" i="1"/>
  <c r="K13" i="1"/>
  <c r="J79" i="1"/>
  <c r="K79" i="1"/>
  <c r="L79" i="1"/>
  <c r="K29" i="1"/>
  <c r="J29" i="1"/>
  <c r="L85" i="1"/>
  <c r="K85" i="1"/>
  <c r="J75" i="1"/>
  <c r="K75" i="1"/>
  <c r="L75" i="1"/>
  <c r="K45" i="1"/>
  <c r="L45" i="1"/>
  <c r="J45" i="1"/>
  <c r="K55" i="1"/>
  <c r="L55" i="1"/>
  <c r="J55" i="1"/>
  <c r="K21" i="1"/>
  <c r="L17" i="1"/>
  <c r="K17" i="1"/>
  <c r="J17" i="1"/>
  <c r="I17" i="1"/>
  <c r="K19" i="1"/>
  <c r="L19" i="1"/>
  <c r="J19" i="1"/>
  <c r="U18" i="1"/>
  <c r="K7" i="1"/>
  <c r="L7" i="1"/>
  <c r="J37" i="1"/>
  <c r="K37" i="1"/>
  <c r="L31" i="1"/>
  <c r="K31" i="1"/>
  <c r="J41" i="1"/>
  <c r="L39" i="1"/>
  <c r="K39" i="1"/>
  <c r="J39" i="1"/>
  <c r="L41" i="1"/>
  <c r="K41" i="1"/>
  <c r="L91" i="1"/>
  <c r="K91" i="1"/>
  <c r="K89" i="1"/>
  <c r="J89" i="1"/>
  <c r="L25" i="1"/>
  <c r="J25" i="1"/>
  <c r="C8" i="16" l="1"/>
  <c r="B8" i="16"/>
  <c r="C23" i="15"/>
  <c r="B26" i="15"/>
  <c r="I13" i="2"/>
  <c r="I5" i="2"/>
  <c r="I4" i="2"/>
  <c r="I67" i="1"/>
  <c r="I69" i="1"/>
  <c r="I9" i="1"/>
  <c r="I33" i="1"/>
  <c r="I27" i="1"/>
  <c r="I73" i="1"/>
  <c r="I23" i="1"/>
  <c r="I57" i="1"/>
  <c r="H57" i="1"/>
  <c r="I47" i="1"/>
  <c r="I51" i="1"/>
  <c r="I63" i="1"/>
  <c r="I49" i="1"/>
  <c r="I65" i="1"/>
  <c r="I79" i="1"/>
  <c r="G29" i="1"/>
  <c r="E29" i="1"/>
  <c r="I29" i="1"/>
  <c r="I75" i="1"/>
  <c r="I45" i="1"/>
  <c r="I55" i="1"/>
  <c r="I21" i="1"/>
  <c r="H21" i="1"/>
  <c r="I19" i="1"/>
  <c r="I7" i="1"/>
  <c r="I37" i="1"/>
  <c r="I39" i="1"/>
  <c r="I41" i="1"/>
  <c r="I91" i="1"/>
  <c r="I89" i="1"/>
  <c r="H89" i="1"/>
  <c r="I25" i="1"/>
  <c r="C8" i="15" l="1"/>
  <c r="I8" i="15" s="1"/>
  <c r="H26" i="15"/>
  <c r="B11" i="16" s="1"/>
  <c r="C11" i="16" s="1"/>
  <c r="C26" i="15"/>
  <c r="H8" i="15"/>
  <c r="E5" i="2"/>
  <c r="E4" i="2"/>
  <c r="H13" i="2" l="1"/>
  <c r="H67" i="1" l="1"/>
  <c r="H69" i="1"/>
  <c r="H9" i="1"/>
  <c r="H33" i="1"/>
  <c r="H27" i="1"/>
  <c r="H73" i="1"/>
  <c r="H23" i="1"/>
  <c r="H47" i="1"/>
  <c r="H51" i="1"/>
  <c r="H63" i="1"/>
  <c r="H49" i="1"/>
  <c r="H65" i="1"/>
  <c r="H79" i="1"/>
  <c r="H29" i="1"/>
  <c r="H75" i="1"/>
  <c r="H45" i="1"/>
  <c r="H55" i="1"/>
  <c r="G21" i="1"/>
  <c r="F21" i="1"/>
  <c r="H17" i="1"/>
  <c r="G17" i="1"/>
  <c r="H19" i="1"/>
  <c r="H7" i="1"/>
  <c r="H37" i="1"/>
  <c r="H31" i="1"/>
  <c r="G31" i="1"/>
  <c r="F31" i="1"/>
  <c r="H39" i="1"/>
  <c r="H41" i="1"/>
  <c r="H91" i="1"/>
  <c r="H25" i="1"/>
  <c r="G13" i="2" l="1"/>
  <c r="G67" i="1"/>
  <c r="G69" i="1"/>
  <c r="G9" i="1"/>
  <c r="G33" i="1"/>
  <c r="G27" i="1"/>
  <c r="F73" i="1"/>
  <c r="G73" i="1"/>
  <c r="G23" i="1"/>
  <c r="G57" i="1"/>
  <c r="F57" i="1"/>
  <c r="G47" i="1"/>
  <c r="G51" i="1"/>
  <c r="G63" i="1"/>
  <c r="G49" i="1"/>
  <c r="G65" i="1"/>
  <c r="E13" i="1"/>
  <c r="G13" i="1"/>
  <c r="F13" i="1"/>
  <c r="G79" i="1"/>
  <c r="G75" i="1"/>
  <c r="G45" i="1"/>
  <c r="G55" i="1"/>
  <c r="G19" i="1"/>
  <c r="G7" i="1"/>
  <c r="G37" i="1"/>
  <c r="G39" i="1"/>
  <c r="G41" i="1"/>
  <c r="G91" i="1"/>
  <c r="G89" i="1"/>
  <c r="G25" i="1"/>
  <c r="F67" i="1" l="1"/>
  <c r="F69" i="1"/>
  <c r="F9" i="1"/>
  <c r="F33" i="1"/>
  <c r="F27" i="1"/>
  <c r="F23" i="1"/>
  <c r="F47" i="1"/>
  <c r="F51" i="1"/>
  <c r="F63" i="1"/>
  <c r="F49" i="1"/>
  <c r="E97" i="1"/>
  <c r="F65" i="1"/>
  <c r="F79" i="1"/>
  <c r="F29" i="1"/>
  <c r="Q95" i="1"/>
  <c r="Q94" i="1"/>
  <c r="F75" i="1"/>
  <c r="F45" i="1"/>
  <c r="F55" i="1"/>
  <c r="F17" i="1"/>
  <c r="E17" i="1"/>
  <c r="F19" i="1"/>
  <c r="R95" i="1" l="1"/>
  <c r="F7" i="1"/>
  <c r="F37" i="1"/>
  <c r="F39" i="1"/>
  <c r="F41" i="1"/>
  <c r="F91" i="1" l="1"/>
  <c r="F89" i="1"/>
  <c r="F25" i="1"/>
  <c r="F13" i="2" l="1"/>
  <c r="Q97" i="1" l="1"/>
  <c r="Q96" i="1"/>
  <c r="T96" i="1" s="1"/>
  <c r="E13" i="2"/>
  <c r="E67" i="1"/>
  <c r="E69" i="1"/>
  <c r="E9" i="1"/>
  <c r="E33" i="1"/>
  <c r="E27" i="1"/>
  <c r="E73" i="1"/>
  <c r="E23" i="1"/>
  <c r="E57" i="1"/>
  <c r="E47" i="1"/>
  <c r="E51" i="1"/>
  <c r="E81" i="1"/>
  <c r="E63" i="1"/>
  <c r="E49" i="1"/>
  <c r="E65" i="1"/>
  <c r="E79" i="1"/>
  <c r="E85" i="1"/>
  <c r="E75" i="1"/>
  <c r="E45" i="1"/>
  <c r="E55" i="1"/>
  <c r="E21" i="1"/>
  <c r="E19" i="1"/>
  <c r="E7" i="1"/>
  <c r="E37" i="1"/>
  <c r="R97" i="1" l="1"/>
  <c r="E31" i="1"/>
  <c r="E39" i="1"/>
  <c r="E41" i="1"/>
  <c r="E91" i="1"/>
  <c r="E89" i="1" l="1"/>
  <c r="E25" i="1"/>
  <c r="Q60" i="1" l="1"/>
  <c r="Q61" i="1"/>
  <c r="R61" i="1" l="1"/>
  <c r="U102" i="1"/>
  <c r="F13" i="15" l="1"/>
  <c r="D13" i="15"/>
  <c r="F10" i="15"/>
  <c r="F9" i="15"/>
  <c r="D10" i="15"/>
  <c r="D9" i="15"/>
  <c r="Q87" i="1" l="1"/>
  <c r="Q86" i="1"/>
  <c r="T86" i="1" s="1"/>
  <c r="Q81" i="1"/>
  <c r="Q80" i="1"/>
  <c r="T80" i="1" s="1"/>
  <c r="Q84" i="1"/>
  <c r="T84" i="1" s="1"/>
  <c r="Q85" i="1"/>
  <c r="Q83" i="1"/>
  <c r="Q82" i="1"/>
  <c r="T82" i="1" s="1"/>
  <c r="R87" i="1" l="1"/>
  <c r="R81" i="1"/>
  <c r="R85" i="1"/>
  <c r="R83" i="1"/>
  <c r="C12" i="16"/>
  <c r="C9" i="16"/>
  <c r="H29" i="15"/>
  <c r="C27" i="15"/>
  <c r="I27" i="15" s="1"/>
  <c r="I28" i="15" s="1"/>
  <c r="I26" i="15"/>
  <c r="C24" i="15"/>
  <c r="I24" i="15" s="1"/>
  <c r="I23" i="15"/>
  <c r="H23" i="15"/>
  <c r="H10" i="15"/>
  <c r="G10" i="15"/>
  <c r="E10" i="15"/>
  <c r="H9" i="15"/>
  <c r="G9" i="15"/>
  <c r="E9" i="15"/>
  <c r="E11" i="15" l="1"/>
  <c r="I10" i="15"/>
  <c r="D12" i="15"/>
  <c r="F12" i="15"/>
  <c r="I9" i="15"/>
  <c r="C28" i="15"/>
  <c r="G11" i="15"/>
  <c r="E15" i="2"/>
  <c r="E14" i="2"/>
  <c r="Q13" i="2" l="1"/>
  <c r="Q12" i="2"/>
  <c r="S12" i="2" s="1"/>
  <c r="Q11" i="2"/>
  <c r="Q10" i="2"/>
  <c r="S10" i="2" s="1"/>
  <c r="Q9" i="2"/>
  <c r="Q8" i="2"/>
  <c r="S8" i="2" s="1"/>
  <c r="Q7" i="2"/>
  <c r="Q6" i="2"/>
  <c r="S6" i="2" s="1"/>
  <c r="Q5" i="2"/>
  <c r="Q4" i="2"/>
  <c r="S4" i="2" s="1"/>
  <c r="S14" i="2" l="1"/>
  <c r="Q15" i="2"/>
  <c r="Q14" i="2"/>
  <c r="B6" i="15" s="1"/>
  <c r="Q52" i="1"/>
  <c r="T52" i="1" s="1"/>
  <c r="Q44" i="1"/>
  <c r="T44" i="1" s="1"/>
  <c r="Q21" i="1"/>
  <c r="Q70" i="1"/>
  <c r="T70" i="1" s="1"/>
  <c r="Q17" i="1"/>
  <c r="Q19" i="1"/>
  <c r="Q36" i="1"/>
  <c r="T36" i="1" s="1"/>
  <c r="Q38" i="1"/>
  <c r="T38" i="1" s="1"/>
  <c r="Q89" i="1"/>
  <c r="Q88" i="1"/>
  <c r="T88" i="1" s="1"/>
  <c r="Q79" i="1"/>
  <c r="Q77" i="1"/>
  <c r="Q75" i="1"/>
  <c r="Q74" i="1"/>
  <c r="T74" i="1" s="1"/>
  <c r="Q73" i="1"/>
  <c r="Q72" i="1"/>
  <c r="T72" i="1" s="1"/>
  <c r="Q71" i="1"/>
  <c r="Q69" i="1"/>
  <c r="Q68" i="1"/>
  <c r="T68" i="1" s="1"/>
  <c r="Q67" i="1"/>
  <c r="Q66" i="1"/>
  <c r="T66" i="1" s="1"/>
  <c r="Q65" i="1"/>
  <c r="Q64" i="1"/>
  <c r="T64" i="1" s="1"/>
  <c r="Q63" i="1"/>
  <c r="Q62" i="1"/>
  <c r="T62" i="1" s="1"/>
  <c r="Q59" i="1"/>
  <c r="Q58" i="1"/>
  <c r="Q57" i="1"/>
  <c r="Q56" i="1"/>
  <c r="T56" i="1" s="1"/>
  <c r="Q55" i="1"/>
  <c r="Q54" i="1"/>
  <c r="T54" i="1" s="1"/>
  <c r="Q53" i="1"/>
  <c r="Q51" i="1"/>
  <c r="Q50" i="1"/>
  <c r="T50" i="1" s="1"/>
  <c r="Q49" i="1"/>
  <c r="Q48" i="1"/>
  <c r="Q47" i="1"/>
  <c r="Q46" i="1"/>
  <c r="T46" i="1" s="1"/>
  <c r="Q45" i="1"/>
  <c r="Q43" i="1"/>
  <c r="Q42" i="1"/>
  <c r="Q41" i="1"/>
  <c r="Q40" i="1"/>
  <c r="Q39" i="1"/>
  <c r="Q37" i="1"/>
  <c r="Q35" i="1"/>
  <c r="Q34" i="1"/>
  <c r="T34" i="1" s="1"/>
  <c r="Q33" i="1"/>
  <c r="Q32" i="1"/>
  <c r="T32" i="1" s="1"/>
  <c r="Q31" i="1"/>
  <c r="Q30" i="1"/>
  <c r="T30" i="1" s="1"/>
  <c r="Q29" i="1"/>
  <c r="Q28" i="1"/>
  <c r="T28" i="1" s="1"/>
  <c r="Q27" i="1"/>
  <c r="Q26" i="1"/>
  <c r="T26" i="1" s="1"/>
  <c r="Q24" i="1"/>
  <c r="T24" i="1" s="1"/>
  <c r="Q23" i="1"/>
  <c r="Q22" i="1"/>
  <c r="T22" i="1" s="1"/>
  <c r="Q20" i="1"/>
  <c r="T20" i="1" s="1"/>
  <c r="Q18" i="1"/>
  <c r="T18" i="1" s="1"/>
  <c r="V19" i="1" s="1"/>
  <c r="Q16" i="1"/>
  <c r="T16" i="1" s="1"/>
  <c r="Q15" i="1"/>
  <c r="Q14" i="1"/>
  <c r="T14" i="1" s="1"/>
  <c r="Q13" i="1"/>
  <c r="Q12" i="1"/>
  <c r="T12" i="1" s="1"/>
  <c r="Q11" i="1"/>
  <c r="Q10" i="1"/>
  <c r="T10" i="1" s="1"/>
  <c r="Q9" i="1"/>
  <c r="Q8" i="1"/>
  <c r="T8" i="1" s="1"/>
  <c r="Q7" i="1"/>
  <c r="Q6" i="1"/>
  <c r="T6" i="1" s="1"/>
  <c r="Q5" i="1"/>
  <c r="Q4" i="1"/>
  <c r="T40" i="1" l="1"/>
  <c r="C6" i="15"/>
  <c r="I6" i="15" s="1"/>
  <c r="H6" i="15"/>
  <c r="Q90" i="1"/>
  <c r="T90" i="1" s="1"/>
  <c r="Q76" i="1"/>
  <c r="T76" i="1" s="1"/>
  <c r="Q25" i="1"/>
  <c r="Q105" i="1" s="1"/>
  <c r="Q78" i="1"/>
  <c r="Q104" i="1" s="1"/>
  <c r="R43" i="1"/>
  <c r="R7" i="1"/>
  <c r="Q91" i="1"/>
  <c r="R89" i="1"/>
  <c r="Q102" i="1"/>
  <c r="B7" i="15" s="1"/>
  <c r="C7" i="15" l="1"/>
  <c r="H7" i="15"/>
  <c r="Q103" i="1"/>
  <c r="B13" i="15" s="1"/>
  <c r="H13" i="15" s="1"/>
  <c r="R91" i="1"/>
  <c r="R79" i="1"/>
  <c r="R77" i="1"/>
  <c r="R75" i="1"/>
  <c r="R73" i="1"/>
  <c r="R71" i="1"/>
  <c r="R69" i="1"/>
  <c r="R67" i="1"/>
  <c r="R65" i="1"/>
  <c r="R63" i="1"/>
  <c r="R59" i="1"/>
  <c r="R57" i="1"/>
  <c r="R55" i="1"/>
  <c r="R53" i="1"/>
  <c r="R51" i="1"/>
  <c r="R49" i="1"/>
  <c r="R47" i="1"/>
  <c r="R45" i="1"/>
  <c r="R41" i="1"/>
  <c r="R39" i="1"/>
  <c r="R35" i="1"/>
  <c r="R33" i="1"/>
  <c r="R31" i="1"/>
  <c r="R29" i="1"/>
  <c r="R27" i="1"/>
  <c r="R25" i="1"/>
  <c r="R23" i="1"/>
  <c r="R21" i="1"/>
  <c r="R19" i="1"/>
  <c r="R17" i="1"/>
  <c r="R15" i="1"/>
  <c r="R13" i="1"/>
  <c r="R11" i="1"/>
  <c r="R9" i="1"/>
  <c r="R5" i="1"/>
  <c r="R7" i="2"/>
  <c r="T7" i="2" s="1"/>
  <c r="R5" i="2"/>
  <c r="T5" i="2" s="1"/>
  <c r="B12" i="15" l="1"/>
  <c r="H12" i="15" s="1"/>
  <c r="I7" i="15"/>
  <c r="I11" i="15" s="1"/>
  <c r="C11" i="15"/>
  <c r="R13" i="2"/>
  <c r="T13" i="2" s="1"/>
  <c r="R11" i="2"/>
  <c r="T11" i="2" s="1"/>
  <c r="R9" i="2"/>
  <c r="T9" i="2" s="1"/>
  <c r="R37" i="1"/>
  <c r="C9" i="14"/>
  <c r="C10" i="14"/>
  <c r="B10" i="14"/>
  <c r="B9" i="14"/>
  <c r="D6" i="14" l="1"/>
  <c r="D7" i="14"/>
  <c r="D4" i="14"/>
  <c r="D9" i="14" s="1"/>
  <c r="D5" i="14"/>
  <c r="E5" i="14" l="1"/>
  <c r="D10" i="14"/>
  <c r="E10" i="14" s="1"/>
  <c r="E7" i="14"/>
  <c r="R15" i="2"/>
  <c r="T15" i="2" s="1"/>
  <c r="R103" i="1"/>
</calcChain>
</file>

<file path=xl/sharedStrings.xml><?xml version="1.0" encoding="utf-8"?>
<sst xmlns="http://schemas.openxmlformats.org/spreadsheetml/2006/main" count="490" uniqueCount="213">
  <si>
    <t>POD</t>
  </si>
  <si>
    <t>Időszak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</si>
  <si>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</si>
  <si>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</si>
  <si>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</si>
  <si>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</si>
  <si>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</si>
  <si>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</si>
  <si>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</si>
  <si>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</si>
  <si>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</si>
  <si>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</si>
  <si>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</si>
  <si>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</si>
  <si>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Benzin felhasználás (liter)</t>
  </si>
  <si>
    <t>Benzin költség (Ft)</t>
  </si>
  <si>
    <t>Gázolaj felhasználás (liter)</t>
  </si>
  <si>
    <t>Gázolaj költség (Ft)</t>
  </si>
  <si>
    <t>Felhasználási hely</t>
  </si>
  <si>
    <t>Összesen</t>
  </si>
  <si>
    <t>Ft</t>
  </si>
  <si>
    <t>kWh</t>
  </si>
  <si>
    <t>MJ</t>
  </si>
  <si>
    <t>ÖSSZESEN</t>
  </si>
  <si>
    <t>Fajlagos bruttó ár Ft/l</t>
  </si>
  <si>
    <t>HU000110-11-S00000000000000901911</t>
  </si>
  <si>
    <t>HU000110-11-S00000000000001078658</t>
  </si>
  <si>
    <t>HU000110-11-S00000000000000022695</t>
  </si>
  <si>
    <t>HU000110-11-S00000000000000022723</t>
  </si>
  <si>
    <t>HU000110-11-S00000000000000022939</t>
  </si>
  <si>
    <t>HU000110-11-S00000000000000022941</t>
  </si>
  <si>
    <t>HU000110-11-S00000000000000025559</t>
  </si>
  <si>
    <t>HU000110-11-S00000000000000025562</t>
  </si>
  <si>
    <t>HU000110-11-S00000000000000025566</t>
  </si>
  <si>
    <t>HU000110-11-S00000000000000027201</t>
  </si>
  <si>
    <t>HU000110-11-S00000000000000028454</t>
  </si>
  <si>
    <t>HU000110-11-S00000000000000028761</t>
  </si>
  <si>
    <t>HU000110-11-S00000000000000699507</t>
  </si>
  <si>
    <t>HU000110-11-S00000000000000706716</t>
  </si>
  <si>
    <t>HU000110-11-S00000000000000739721</t>
  </si>
  <si>
    <t>HU000110-11-S00000000000000748361</t>
  </si>
  <si>
    <t>HU000110-11-S00000000000000871421</t>
  </si>
  <si>
    <t>HU000110-11-S00000000000000871439</t>
  </si>
  <si>
    <t>HU000110-11-S00000000000000885214</t>
  </si>
  <si>
    <t>HU000110-11-S00000000000000903359</t>
  </si>
  <si>
    <t>HU000110-11-S00000000000000996098</t>
  </si>
  <si>
    <t>HU000110-11-S00000000000001003745</t>
  </si>
  <si>
    <t>HU000110-11-S00000000000001009453</t>
  </si>
  <si>
    <t>HU000110-11-S00000000000001026196</t>
  </si>
  <si>
    <t>HU000110-11-S00000000000001031602</t>
  </si>
  <si>
    <t>HU000110-11-S00000000000001049834</t>
  </si>
  <si>
    <t>HU000110-11-S00000000000001051995</t>
  </si>
  <si>
    <t>HU000110-11-S00000000000001060880</t>
  </si>
  <si>
    <t>HU000110-11-S00000000000001061823</t>
  </si>
  <si>
    <t>HU000110-11-S00000000000001088205</t>
  </si>
  <si>
    <t>HU000110F11-S00000000000001365930</t>
  </si>
  <si>
    <t>HU000110F11-S00000010000000000140</t>
  </si>
  <si>
    <t>HU000110F11-S00000010000000000142</t>
  </si>
  <si>
    <t>HU000110-11-S00000000000000701126</t>
  </si>
  <si>
    <t>HU000110-11-S00000000000001104420</t>
  </si>
  <si>
    <t>HU000110-11-S00000000000001117165</t>
  </si>
  <si>
    <t>8220 Balatonalmádi, Móra Ferenc utca 6. 3</t>
  </si>
  <si>
    <t>8220 Balatonalmádi, Martinovics Ignác utca 16.</t>
  </si>
  <si>
    <t>8220 Balatonalmádi, Mátyás király utca 125.</t>
  </si>
  <si>
    <t>8220 Balatonalmádi, Ady Endre utca 21.</t>
  </si>
  <si>
    <t>8220 Balatonalmádi, Ady Endre utca 25.</t>
  </si>
  <si>
    <t>8220 Balatonalmádi, Mátyás király utca 27.</t>
  </si>
  <si>
    <t>8220 Balatonalmádi, Ady Endre utca 2.</t>
  </si>
  <si>
    <t>8220 Balatonalmádi, Szt. Erzsébet liget hrsz. 1636</t>
  </si>
  <si>
    <t>8220 Balatonalmádi, Baross G. utca hrsz. 2173</t>
  </si>
  <si>
    <t>8220 Balatonalmádi, Liszt Ferenc utca 30.</t>
  </si>
  <si>
    <t>8220 Balatonalmádi, Petőfi Sándor utca hrsz. 2131</t>
  </si>
  <si>
    <t>8220 Balatonalmádi, Veszprémi utca 81.</t>
  </si>
  <si>
    <t>8220 Balatonalmádi, Somfa utca hrsz. 0114/18</t>
  </si>
  <si>
    <t>HU000110-11-S00000000000001076502</t>
  </si>
  <si>
    <t>HU000110-11-S00000000000001031754</t>
  </si>
  <si>
    <t>8220 Balatonalmádi, Baross Gábor út 60/A. Üzlet</t>
  </si>
  <si>
    <t>8220 Balatonalmádi, Bajcsy-Zsilinszky Endre u. 60.</t>
  </si>
  <si>
    <t>8223 Balatonalmádi, Rákóczi Ferenc u. 43.</t>
  </si>
  <si>
    <t>Fajlagos nettó gáz ár Ft/MJ</t>
  </si>
  <si>
    <t>Szállítás</t>
  </si>
  <si>
    <t>Tevékenység</t>
  </si>
  <si>
    <t>l/év</t>
  </si>
  <si>
    <t>Ft/év</t>
  </si>
  <si>
    <t>39N040111483000W</t>
  </si>
  <si>
    <t>39N040107853000K</t>
  </si>
  <si>
    <t>39N0402954120002</t>
  </si>
  <si>
    <t>39N040286426000E</t>
  </si>
  <si>
    <t>39N040219109000Y</t>
  </si>
  <si>
    <t>Energia felhasználás</t>
  </si>
  <si>
    <t>Érintett részterületek</t>
  </si>
  <si>
    <t>Épület</t>
  </si>
  <si>
    <t>Felhasználás mértéke</t>
  </si>
  <si>
    <t>Természetes me.</t>
  </si>
  <si>
    <t>MWh/év</t>
  </si>
  <si>
    <t>Földgáz MJ/év</t>
  </si>
  <si>
    <t>Villamos energia kWh/év</t>
  </si>
  <si>
    <t>Üzemanyag dízel l/év</t>
  </si>
  <si>
    <t>Üzemanyag benzin l/év</t>
  </si>
  <si>
    <t>-</t>
  </si>
  <si>
    <r>
      <t>ÜHG kibocsátás CO</t>
    </r>
    <r>
      <rPr>
        <b/>
        <vertAlign val="subscript"/>
        <sz val="11"/>
        <color theme="1"/>
        <rFont val="Times New Roman"/>
        <family val="1"/>
        <charset val="238"/>
      </rPr>
      <t>2</t>
    </r>
    <r>
      <rPr>
        <b/>
        <sz val="11"/>
        <color theme="1"/>
        <rFont val="Times New Roman"/>
        <family val="1"/>
        <charset val="238"/>
      </rPr>
      <t xml:space="preserve"> ezer t/év</t>
    </r>
  </si>
  <si>
    <t>Felhasználás nettó költsége Ft/év</t>
  </si>
  <si>
    <t xml:space="preserve">Energiahatékonyság növelő intézkedés </t>
  </si>
  <si>
    <t>Műszaki rendszer megnevezése, műszaki tartalom</t>
  </si>
  <si>
    <t>Szerepelt-e az auditjavaslatok között?</t>
  </si>
  <si>
    <t>Támogatással valósult-e meg és milyennel?</t>
  </si>
  <si>
    <t>Melyik részterületet érintette?</t>
  </si>
  <si>
    <t>Intézkedés költsége nettó eFt</t>
  </si>
  <si>
    <t>Tervezett energiamegtakarítás mértéke</t>
  </si>
  <si>
    <t>Elért energiaköltség megtakarítás  intézkedésenként nettó eFt/év</t>
  </si>
  <si>
    <t>Elért nem energiaköltség típusú megtakarítás intézkedésenként eFt/év</t>
  </si>
  <si>
    <t>Intézkedés várható egyszerű megérülési ideje év</t>
  </si>
  <si>
    <t>Intézkedés műszaki rendszerének tervezett élettartama év</t>
  </si>
  <si>
    <t>Intézkedés megvalósulásának dátuma</t>
  </si>
  <si>
    <t>Szmeléletformálási tevékenység</t>
  </si>
  <si>
    <t>Jellege, leírása</t>
  </si>
  <si>
    <t>Helyszíne</t>
  </si>
  <si>
    <t>Gyakorisága, élettartama</t>
  </si>
  <si>
    <t>Elért résztvevők száma</t>
  </si>
  <si>
    <t>Passzív</t>
  </si>
  <si>
    <t>Aktív</t>
  </si>
  <si>
    <t>Intézkedés megnevezése</t>
  </si>
  <si>
    <t>Intézkedés létesítésének ideje</t>
  </si>
  <si>
    <t>Energiamegtakarítás tervezett mértéke</t>
  </si>
  <si>
    <t xml:space="preserve">Szemléletformálási tevékenység </t>
  </si>
  <si>
    <t>Közvilágítás 1 gyűjtő Babits u. 1.</t>
  </si>
  <si>
    <t>Közvilágítás 2 gyűjtő Széchenyi I. sétány 1.</t>
  </si>
  <si>
    <t>Fajlagos nettó ár Ft/kWh</t>
  </si>
  <si>
    <t>RHD nélkül</t>
  </si>
  <si>
    <t>HU000110-11-S00000000000000895372</t>
  </si>
  <si>
    <t>HU000110-11-S00000000000001124704</t>
  </si>
  <si>
    <t>8221 Balatonalmádi, Baross G. u. 60.</t>
  </si>
  <si>
    <t>HU000110-11-S00000000000000024210</t>
  </si>
  <si>
    <t>HU000110-11-S00000000000001125583</t>
  </si>
  <si>
    <t>Elszámoló számla</t>
  </si>
  <si>
    <r>
      <t>Fogyasztás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/év</t>
    </r>
  </si>
  <si>
    <t>1. melléklet</t>
  </si>
  <si>
    <t>2. melléklet</t>
  </si>
  <si>
    <t>3. melléklet</t>
  </si>
  <si>
    <t>4. melléklet</t>
  </si>
  <si>
    <t>Kereskedelmi nélkül</t>
  </si>
  <si>
    <t>HU000110-11-S00000000000001084251</t>
  </si>
  <si>
    <t>8220 Balatonalmádi, Liszt Ferenc utca 30. vez.</t>
  </si>
  <si>
    <t>8219 Balatonalmádi, Szabolcs u. 1199/29 hrsz. Locsoló sziv.</t>
  </si>
  <si>
    <t>8220 Balatonalmádi, Véghelyi Dezső utca 10. sportpálya</t>
  </si>
  <si>
    <t>8220 Balatonalmádi, Véghelyi Dezső utca 10. sportpálya vez.</t>
  </si>
  <si>
    <t>Elszámoló számla alapján</t>
  </si>
  <si>
    <t>8220 Balatonalmádi, Veszprémi utca 85. Kolostor</t>
  </si>
  <si>
    <t>8220 Balatonalmádi, Thököly utca 1. Magtár</t>
  </si>
  <si>
    <t>8220 Balatonalmádi, Baross G. utca hrsz. 4444 Piac Term Bolt</t>
  </si>
  <si>
    <t>8220 Balatonalmádi, Baross G.62 utca hrsz. 4444 Piac WC</t>
  </si>
  <si>
    <t>8220 Balatonalmádi, Véghelyi Dezső utca 10. Sportpálya</t>
  </si>
  <si>
    <t>8220 Balatonalmádi, Thököly utca 671/3. Műfüves pálya</t>
  </si>
  <si>
    <t>8221 Balatonalmádi, Thököly Imre u. 1. magtár</t>
  </si>
  <si>
    <t>8222 Balatonalmádi, Véghelyi Dezső u. 11. sportpálya</t>
  </si>
  <si>
    <t>8220 Balatonalmádi, Rákóczi Ferenc utca 39. (1-es lakás)</t>
  </si>
  <si>
    <t>8220 Balatonalmádi, Rákóczi Ferenc utca 39. (2-es lakás)</t>
  </si>
  <si>
    <t>8220 Balatonalmádi, Rákóczi Ferenc utca 39. (3-as lakás)</t>
  </si>
  <si>
    <t>8220 Balatonalmádi, Rákóczi Ferenc utca 39. (Gimi konyha)</t>
  </si>
  <si>
    <t>8220 Balatonalmádi, Rákóczi Ferenc utca 39. (4-es lakás)</t>
  </si>
  <si>
    <t>8220 Balatonalmádi, Rákóczi Ferenc utca 43. (Telephely)</t>
  </si>
  <si>
    <t>8220 Balatonalmádi, Kültéri 1. (sárga villogó)</t>
  </si>
  <si>
    <t>8220 Balatonalmádi, Kötéssűrű utca 1/X. (Temető)</t>
  </si>
  <si>
    <t>8220 Balatonalmádi, Kötéssűrű utca 1/X. (temető)</t>
  </si>
  <si>
    <t>8220 Balatonalmádi, Bajcsy utca 60. (nagycsaládos iroda)</t>
  </si>
  <si>
    <t>8222 Balatonalmádi, Városház tér 4. (tourinform iroda)</t>
  </si>
  <si>
    <t>HU000110-11-S00000000000001146001</t>
  </si>
  <si>
    <t>Új</t>
  </si>
  <si>
    <t>8220 Balatonalmádi, Hrsz. 2288 park</t>
  </si>
  <si>
    <t>8220 Balatonalmádi, Városház tér hrsz. 2284/1 (szökőkút)</t>
  </si>
  <si>
    <t>Balatonalmádi Városgondnokság energiahatékonyság-növelés 2019</t>
  </si>
  <si>
    <t>Energiamegtakarítás 2019. évi mértéke</t>
  </si>
  <si>
    <t>Energiahatékonyság növelés vizsgálata Balatonalmádi Városgondnokság 2019</t>
  </si>
  <si>
    <t>Üzemanyag felhasználás 2019 Balatonalmádi Városgondnokság</t>
  </si>
  <si>
    <t>Villamos energia felhasználás 2019 Balatonalmádi Vársogondnokság</t>
  </si>
  <si>
    <t>Földgáz energia felhasználás 2019 Balatonalmádi Városgondnokság</t>
  </si>
  <si>
    <t>2019-ben elért energiamegtakarítás mértéke</t>
  </si>
  <si>
    <t>8220 Balatonalmádi, Ady Endre utca 1. (szökőkút)</t>
  </si>
  <si>
    <t>Már nem VGO</t>
  </si>
  <si>
    <t>8220 Balatonalmádi, Baross G. utca 60.</t>
  </si>
  <si>
    <t>HU000110-11-S00000000000001150154</t>
  </si>
  <si>
    <t>8220 Balatonalmádi, Véghelyi Dezső utca 10. (sportpálya)</t>
  </si>
  <si>
    <t>Fajlagos nettó gáz ár Ft/m3</t>
  </si>
  <si>
    <t>8223 Balatonalmádi, Ady Endre u. 2. új orvosi rendelő</t>
  </si>
  <si>
    <t>Vásárolt villamos energia kWh/év</t>
  </si>
  <si>
    <t>Termelt villamos energia kWh/év</t>
  </si>
  <si>
    <t>Támogatással elért energia megtakarítás mértéke 2019-ben</t>
  </si>
  <si>
    <t>Villamos energia termelés kWh/év</t>
  </si>
  <si>
    <t>49 kWp HMKE működtetése</t>
  </si>
  <si>
    <t>MÉF kWh/év 2019</t>
  </si>
  <si>
    <t>2018/2019 kWh/év betáplálás</t>
  </si>
  <si>
    <t>F19júl31</t>
  </si>
  <si>
    <t>B19júl31</t>
  </si>
  <si>
    <t>F18aug1</t>
  </si>
  <si>
    <t>B18aug1</t>
  </si>
  <si>
    <t>Szaldó</t>
  </si>
  <si>
    <t>kWh/időszak</t>
  </si>
  <si>
    <t>HU000110-11-S00000000000001200141</t>
  </si>
  <si>
    <t>8220 Balatonalmádi, Györgyi Dénes u. 22. (A1+vez.)</t>
  </si>
  <si>
    <t>HU000110-11-S00000000000001153505</t>
  </si>
  <si>
    <t>8220 Balatonalmádi, Baross G. u. 60/A</t>
  </si>
  <si>
    <t>HU000110-11-S00000000000001159474</t>
  </si>
  <si>
    <t>Inverter termelés 1-12 hó</t>
  </si>
  <si>
    <t>Közvilágítás 4 gyűjtő József A. u.</t>
  </si>
  <si>
    <t>HU000110-11-S00000000000001154725</t>
  </si>
  <si>
    <t>8220 Balatonalmádi, Erkel F. út 10001/2 hrsz.(E.ON A1) Közvil 3</t>
  </si>
  <si>
    <t>2019 kWh/év vásárolt fogyasztás</t>
  </si>
  <si>
    <t xml:space="preserve">Összes áramfelhasználás 2019-ben </t>
  </si>
  <si>
    <t>kWh/év</t>
  </si>
  <si>
    <t>8220 Balatonalmádi, József A. u. 2318/2 hrsz. Park</t>
  </si>
  <si>
    <t>Energiahatékonyság-növelő intézkedés</t>
  </si>
  <si>
    <t>kWh/hó</t>
  </si>
  <si>
    <t>Átlag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</si>
</sst>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vertAlign val="subscript"/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auto="1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thick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1">
    <xf numFmtId="0" fontId="0" fillId="0" borderId="0" xfId="0"/>
    <xf numFmtId="0" fontId="0" fillId="0" borderId="0" xfId="0" applyFont="1"/>
    <xf numFmtId="0" fontId="5" fillId="0" borderId="0" xfId="0" applyFont="1"/>
    <xf numFmtId="0" fontId="5" fillId="0" borderId="1" xfId="0" applyFont="1" applyBorder="1"/>
    <xf numFmtId="3" fontId="1" fillId="0" borderId="13" xfId="0" applyNumberFormat="1" applyFont="1" applyBorder="1"/>
    <xf numFmtId="3" fontId="5" fillId="0" borderId="1" xfId="0" applyNumberFormat="1" applyFont="1" applyBorder="1"/>
    <xf numFmtId="3" fontId="5" fillId="0" borderId="13" xfId="0" applyNumberFormat="1" applyFont="1" applyBorder="1"/>
    <xf numFmtId="3" fontId="6" fillId="0" borderId="12" xfId="0" applyNumberFormat="1" applyFont="1" applyBorder="1"/>
    <xf numFmtId="3" fontId="0" fillId="0" borderId="1" xfId="0" applyNumberFormat="1" applyFill="1" applyBorder="1"/>
    <xf numFmtId="0" fontId="0" fillId="0" borderId="1" xfId="0" applyFill="1" applyBorder="1"/>
    <xf numFmtId="3" fontId="0" fillId="0" borderId="1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1" xfId="0" applyFont="1" applyFill="1" applyBorder="1"/>
    <xf numFmtId="4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3" fontId="5" fillId="0" borderId="0" xfId="0" applyNumberFormat="1" applyFont="1"/>
    <xf numFmtId="0" fontId="0" fillId="0" borderId="22" xfId="0" applyFill="1" applyBorder="1"/>
    <xf numFmtId="3" fontId="0" fillId="0" borderId="22" xfId="0" applyNumberFormat="1" applyFill="1" applyBorder="1"/>
    <xf numFmtId="3" fontId="0" fillId="0" borderId="22" xfId="0" applyNumberFormat="1" applyFont="1" applyFill="1" applyBorder="1"/>
    <xf numFmtId="3" fontId="1" fillId="0" borderId="23" xfId="0" applyNumberFormat="1" applyFont="1" applyBorder="1"/>
    <xf numFmtId="3" fontId="1" fillId="0" borderId="23" xfId="0" applyNumberFormat="1" applyFont="1" applyFill="1" applyBorder="1"/>
    <xf numFmtId="0" fontId="7" fillId="0" borderId="1" xfId="0" applyFont="1" applyFill="1" applyBorder="1"/>
    <xf numFmtId="3" fontId="7" fillId="0" borderId="1" xfId="0" applyNumberFormat="1" applyFont="1" applyFill="1" applyBorder="1"/>
    <xf numFmtId="0" fontId="6" fillId="0" borderId="11" xfId="0" applyFont="1" applyFill="1" applyBorder="1"/>
    <xf numFmtId="3" fontId="0" fillId="0" borderId="22" xfId="0" applyNumberFormat="1" applyFont="1" applyFill="1" applyBorder="1" applyAlignment="1"/>
    <xf numFmtId="3" fontId="1" fillId="0" borderId="27" xfId="0" applyNumberFormat="1" applyFont="1" applyBorder="1"/>
    <xf numFmtId="3" fontId="0" fillId="0" borderId="13" xfId="0" applyNumberFormat="1" applyFill="1" applyBorder="1"/>
    <xf numFmtId="3" fontId="0" fillId="0" borderId="28" xfId="0" applyNumberFormat="1" applyFill="1" applyBorder="1"/>
    <xf numFmtId="3" fontId="1" fillId="0" borderId="30" xfId="0" applyNumberFormat="1" applyFont="1" applyBorder="1"/>
    <xf numFmtId="3" fontId="8" fillId="0" borderId="32" xfId="0" applyNumberFormat="1" applyFont="1" applyBorder="1"/>
    <xf numFmtId="0" fontId="9" fillId="3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right" vertical="center" wrapText="1"/>
    </xf>
    <xf numFmtId="3" fontId="10" fillId="4" borderId="37" xfId="0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right" vertical="center" wrapText="1"/>
    </xf>
    <xf numFmtId="3" fontId="10" fillId="4" borderId="38" xfId="0" applyNumberFormat="1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3" fontId="9" fillId="4" borderId="36" xfId="0" applyNumberFormat="1" applyFont="1" applyFill="1" applyBorder="1" applyAlignment="1">
      <alignment horizontal="center" vertical="center" wrapText="1"/>
    </xf>
    <xf numFmtId="2" fontId="9" fillId="4" borderId="36" xfId="0" applyNumberFormat="1" applyFont="1" applyFill="1" applyBorder="1" applyAlignment="1">
      <alignment horizontal="center" vertical="center" wrapText="1"/>
    </xf>
    <xf numFmtId="165" fontId="9" fillId="4" borderId="36" xfId="0" applyNumberFormat="1" applyFont="1" applyFill="1" applyBorder="1" applyAlignment="1">
      <alignment horizontal="center" vertical="center" wrapText="1"/>
    </xf>
    <xf numFmtId="3" fontId="10" fillId="4" borderId="3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left" vertical="center" wrapText="1"/>
    </xf>
    <xf numFmtId="0" fontId="9" fillId="5" borderId="41" xfId="0" applyFont="1" applyFill="1" applyBorder="1" applyAlignment="1">
      <alignment horizontal="left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right" vertical="center" wrapText="1"/>
    </xf>
    <xf numFmtId="3" fontId="10" fillId="5" borderId="38" xfId="0" applyNumberFormat="1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3" fontId="10" fillId="5" borderId="40" xfId="0" applyNumberFormat="1" applyFont="1" applyFill="1" applyBorder="1" applyAlignment="1">
      <alignment horizontal="center" vertical="center" wrapText="1"/>
    </xf>
    <xf numFmtId="3" fontId="9" fillId="5" borderId="40" xfId="0" applyNumberFormat="1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3" fontId="10" fillId="5" borderId="36" xfId="0" applyNumberFormat="1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left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left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right" vertical="center" wrapText="1"/>
    </xf>
    <xf numFmtId="164" fontId="14" fillId="5" borderId="49" xfId="0" applyNumberFormat="1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164" fontId="13" fillId="5" borderId="40" xfId="0" applyNumberFormat="1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right" vertical="center" wrapText="1"/>
    </xf>
    <xf numFmtId="0" fontId="13" fillId="0" borderId="34" xfId="0" applyFont="1" applyFill="1" applyBorder="1" applyAlignment="1">
      <alignment horizontal="left" vertical="center" wrapText="1"/>
    </xf>
    <xf numFmtId="0" fontId="13" fillId="6" borderId="36" xfId="0" applyFont="1" applyFill="1" applyBorder="1" applyAlignment="1">
      <alignment horizontal="left" vertical="center" wrapText="1"/>
    </xf>
    <xf numFmtId="0" fontId="13" fillId="6" borderId="36" xfId="0" applyFont="1" applyFill="1" applyBorder="1" applyAlignment="1">
      <alignment horizontal="center" vertical="center" wrapText="1"/>
    </xf>
    <xf numFmtId="0" fontId="14" fillId="6" borderId="3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3" fontId="1" fillId="3" borderId="23" xfId="0" applyNumberFormat="1" applyFont="1" applyFill="1" applyBorder="1"/>
    <xf numFmtId="0" fontId="1" fillId="3" borderId="27" xfId="0" applyFont="1" applyFill="1" applyBorder="1" applyAlignment="1">
      <alignment horizontal="center"/>
    </xf>
    <xf numFmtId="3" fontId="1" fillId="3" borderId="30" xfId="0" applyNumberFormat="1" applyFont="1" applyFill="1" applyBorder="1"/>
    <xf numFmtId="3" fontId="1" fillId="3" borderId="31" xfId="0" applyNumberFormat="1" applyFont="1" applyFill="1" applyBorder="1"/>
    <xf numFmtId="3" fontId="8" fillId="3" borderId="30" xfId="0" applyNumberFormat="1" applyFont="1" applyFill="1" applyBorder="1"/>
    <xf numFmtId="0" fontId="6" fillId="3" borderId="1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5" xfId="0" applyFont="1" applyFill="1" applyBorder="1"/>
    <xf numFmtId="0" fontId="6" fillId="3" borderId="0" xfId="0" applyFont="1" applyFill="1" applyBorder="1"/>
    <xf numFmtId="3" fontId="0" fillId="3" borderId="0" xfId="0" applyNumberFormat="1" applyFont="1" applyFill="1"/>
    <xf numFmtId="3" fontId="6" fillId="3" borderId="14" xfId="0" applyNumberFormat="1" applyFont="1" applyFill="1" applyBorder="1"/>
    <xf numFmtId="3" fontId="6" fillId="3" borderId="12" xfId="0" applyNumberFormat="1" applyFont="1" applyFill="1" applyBorder="1"/>
    <xf numFmtId="3" fontId="0" fillId="0" borderId="1" xfId="0" applyNumberFormat="1" applyFont="1" applyFill="1" applyBorder="1" applyAlignment="1"/>
    <xf numFmtId="3" fontId="0" fillId="0" borderId="1" xfId="0" applyNumberFormat="1" applyFill="1" applyBorder="1" applyAlignment="1"/>
    <xf numFmtId="0" fontId="0" fillId="0" borderId="1" xfId="0" applyFont="1" applyFill="1" applyBorder="1" applyAlignment="1"/>
    <xf numFmtId="3" fontId="7" fillId="0" borderId="1" xfId="0" applyNumberFormat="1" applyFont="1" applyFill="1" applyBorder="1" applyAlignment="1"/>
    <xf numFmtId="164" fontId="0" fillId="0" borderId="0" xfId="0" applyNumberFormat="1" applyFill="1"/>
    <xf numFmtId="3" fontId="1" fillId="0" borderId="54" xfId="0" applyNumberFormat="1" applyFont="1" applyBorder="1"/>
    <xf numFmtId="0" fontId="1" fillId="3" borderId="55" xfId="0" applyFont="1" applyFill="1" applyBorder="1" applyAlignment="1">
      <alignment horizontal="center"/>
    </xf>
    <xf numFmtId="0" fontId="1" fillId="3" borderId="57" xfId="0" applyFont="1" applyFill="1" applyBorder="1" applyAlignment="1">
      <alignment horizontal="center"/>
    </xf>
    <xf numFmtId="0" fontId="1" fillId="3" borderId="56" xfId="0" applyFont="1" applyFill="1" applyBorder="1" applyAlignment="1">
      <alignment horizontal="center"/>
    </xf>
    <xf numFmtId="0" fontId="1" fillId="3" borderId="58" xfId="0" applyFont="1" applyFill="1" applyBorder="1" applyAlignment="1">
      <alignment horizontal="center"/>
    </xf>
    <xf numFmtId="0" fontId="1" fillId="3" borderId="63" xfId="0" applyFont="1" applyFill="1" applyBorder="1" applyAlignment="1">
      <alignment horizontal="center"/>
    </xf>
    <xf numFmtId="3" fontId="1" fillId="0" borderId="63" xfId="0" applyNumberFormat="1" applyFont="1" applyBorder="1"/>
    <xf numFmtId="3" fontId="1" fillId="3" borderId="56" xfId="0" applyNumberFormat="1" applyFont="1" applyFill="1" applyBorder="1"/>
    <xf numFmtId="3" fontId="0" fillId="0" borderId="0" xfId="0" applyNumberFormat="1"/>
    <xf numFmtId="0" fontId="16" fillId="0" borderId="1" xfId="0" applyFont="1" applyFill="1" applyBorder="1"/>
    <xf numFmtId="0" fontId="16" fillId="0" borderId="27" xfId="0" applyFont="1" applyFill="1" applyBorder="1"/>
    <xf numFmtId="3" fontId="16" fillId="0" borderId="1" xfId="0" applyNumberFormat="1" applyFont="1" applyFill="1" applyBorder="1"/>
    <xf numFmtId="3" fontId="16" fillId="0" borderId="1" xfId="0" applyNumberFormat="1" applyFont="1" applyFill="1" applyBorder="1" applyAlignment="1"/>
    <xf numFmtId="0" fontId="16" fillId="0" borderId="1" xfId="0" applyFont="1" applyFill="1" applyBorder="1" applyAlignment="1"/>
    <xf numFmtId="3" fontId="16" fillId="0" borderId="21" xfId="0" applyNumberFormat="1" applyFont="1" applyFill="1" applyBorder="1"/>
    <xf numFmtId="3" fontId="0" fillId="7" borderId="1" xfId="0" applyNumberFormat="1" applyFont="1" applyFill="1" applyBorder="1"/>
    <xf numFmtId="0" fontId="0" fillId="7" borderId="0" xfId="0" applyFill="1"/>
    <xf numFmtId="3" fontId="17" fillId="0" borderId="24" xfId="0" applyNumberFormat="1" applyFont="1" applyBorder="1"/>
    <xf numFmtId="3" fontId="17" fillId="3" borderId="25" xfId="0" applyNumberFormat="1" applyFont="1" applyFill="1" applyBorder="1"/>
    <xf numFmtId="3" fontId="1" fillId="0" borderId="0" xfId="0" applyNumberFormat="1" applyFont="1"/>
    <xf numFmtId="0" fontId="7" fillId="0" borderId="0" xfId="0" applyFont="1"/>
    <xf numFmtId="3" fontId="0" fillId="0" borderId="28" xfId="0" applyNumberFormat="1" applyFont="1" applyFill="1" applyBorder="1" applyAlignment="1"/>
    <xf numFmtId="3" fontId="0" fillId="0" borderId="13" xfId="0" applyNumberFormat="1" applyFont="1" applyFill="1" applyBorder="1" applyAlignment="1"/>
    <xf numFmtId="3" fontId="0" fillId="0" borderId="27" xfId="0" applyNumberFormat="1" applyFill="1" applyBorder="1"/>
    <xf numFmtId="3" fontId="0" fillId="0" borderId="6" xfId="0" applyNumberFormat="1" applyFill="1" applyBorder="1"/>
    <xf numFmtId="3" fontId="1" fillId="0" borderId="32" xfId="0" applyNumberFormat="1" applyFont="1" applyBorder="1"/>
    <xf numFmtId="0" fontId="1" fillId="3" borderId="69" xfId="0" applyFont="1" applyFill="1" applyBorder="1" applyAlignment="1">
      <alignment horizontal="center"/>
    </xf>
    <xf numFmtId="0" fontId="1" fillId="3" borderId="6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3" fontId="0" fillId="0" borderId="0" xfId="0" applyNumberFormat="1" applyFill="1"/>
    <xf numFmtId="3" fontId="7" fillId="0" borderId="13" xfId="0" applyNumberFormat="1" applyFont="1" applyFill="1" applyBorder="1" applyAlignment="1"/>
    <xf numFmtId="0" fontId="0" fillId="2" borderId="0" xfId="0" applyFill="1"/>
    <xf numFmtId="3" fontId="16" fillId="0" borderId="22" xfId="0" applyNumberFormat="1" applyFont="1" applyFill="1" applyBorder="1"/>
    <xf numFmtId="0" fontId="16" fillId="0" borderId="50" xfId="0" applyFont="1" applyFill="1" applyBorder="1"/>
    <xf numFmtId="0" fontId="16" fillId="0" borderId="22" xfId="0" applyFont="1" applyFill="1" applyBorder="1"/>
    <xf numFmtId="3" fontId="16" fillId="0" borderId="1" xfId="0" applyNumberFormat="1" applyFont="1" applyFill="1" applyBorder="1" applyAlignment="1">
      <alignment horizontal="right"/>
    </xf>
    <xf numFmtId="0" fontId="16" fillId="0" borderId="21" xfId="0" applyFont="1" applyFill="1" applyBorder="1"/>
    <xf numFmtId="3" fontId="16" fillId="0" borderId="21" xfId="0" applyNumberFormat="1" applyFont="1" applyFill="1" applyBorder="1" applyAlignment="1">
      <alignment horizontal="right"/>
    </xf>
    <xf numFmtId="3" fontId="16" fillId="0" borderId="4" xfId="0" applyNumberFormat="1" applyFont="1" applyFill="1" applyBorder="1" applyAlignment="1">
      <alignment horizontal="center"/>
    </xf>
    <xf numFmtId="3" fontId="16" fillId="0" borderId="22" xfId="0" applyNumberFormat="1" applyFont="1" applyFill="1" applyBorder="1" applyAlignment="1"/>
    <xf numFmtId="3" fontId="16" fillId="0" borderId="3" xfId="0" applyNumberFormat="1" applyFont="1" applyFill="1" applyBorder="1" applyAlignment="1"/>
    <xf numFmtId="3" fontId="16" fillId="7" borderId="22" xfId="0" applyNumberFormat="1" applyFont="1" applyFill="1" applyBorder="1" applyAlignment="1"/>
    <xf numFmtId="3" fontId="7" fillId="0" borderId="22" xfId="0" applyNumberFormat="1" applyFont="1" applyFill="1" applyBorder="1" applyAlignment="1"/>
    <xf numFmtId="3" fontId="7" fillId="0" borderId="3" xfId="0" applyNumberFormat="1" applyFont="1" applyFill="1" applyBorder="1" applyAlignment="1"/>
    <xf numFmtId="0" fontId="16" fillId="0" borderId="22" xfId="0" applyFont="1" applyFill="1" applyBorder="1" applyAlignment="1"/>
    <xf numFmtId="3" fontId="16" fillId="0" borderId="50" xfId="0" applyNumberFormat="1" applyFont="1" applyFill="1" applyBorder="1" applyAlignment="1"/>
    <xf numFmtId="0" fontId="0" fillId="0" borderId="22" xfId="0" applyFont="1" applyFill="1" applyBorder="1" applyAlignment="1"/>
    <xf numFmtId="0" fontId="0" fillId="0" borderId="65" xfId="0" applyFont="1" applyFill="1" applyBorder="1" applyAlignment="1"/>
    <xf numFmtId="3" fontId="0" fillId="0" borderId="3" xfId="0" applyNumberFormat="1" applyFont="1" applyFill="1" applyBorder="1" applyAlignment="1"/>
    <xf numFmtId="0" fontId="0" fillId="0" borderId="75" xfId="0" applyFont="1" applyFill="1" applyBorder="1" applyAlignment="1"/>
    <xf numFmtId="3" fontId="16" fillId="0" borderId="26" xfId="0" applyNumberFormat="1" applyFont="1" applyFill="1" applyBorder="1" applyAlignment="1"/>
    <xf numFmtId="0" fontId="16" fillId="0" borderId="50" xfId="0" applyFont="1" applyFill="1" applyBorder="1" applyAlignment="1"/>
    <xf numFmtId="3" fontId="1" fillId="3" borderId="76" xfId="0" applyNumberFormat="1" applyFont="1" applyFill="1" applyBorder="1"/>
    <xf numFmtId="3" fontId="16" fillId="0" borderId="50" xfId="0" applyNumberFormat="1" applyFont="1" applyFill="1" applyBorder="1" applyAlignment="1">
      <alignment horizontal="center"/>
    </xf>
    <xf numFmtId="3" fontId="1" fillId="3" borderId="77" xfId="0" applyNumberFormat="1" applyFont="1" applyFill="1" applyBorder="1"/>
    <xf numFmtId="0" fontId="0" fillId="4" borderId="0" xfId="0" applyFill="1"/>
    <xf numFmtId="0" fontId="16" fillId="0" borderId="1" xfId="0" applyFont="1" applyBorder="1"/>
    <xf numFmtId="3" fontId="7" fillId="0" borderId="65" xfId="0" applyNumberFormat="1" applyFont="1" applyFill="1" applyBorder="1" applyAlignment="1"/>
    <xf numFmtId="3" fontId="7" fillId="0" borderId="67" xfId="0" applyNumberFormat="1" applyFont="1" applyFill="1" applyBorder="1" applyAlignment="1"/>
    <xf numFmtId="3" fontId="7" fillId="0" borderId="75" xfId="0" applyNumberFormat="1" applyFont="1" applyFill="1" applyBorder="1" applyAlignment="1"/>
    <xf numFmtId="3" fontId="0" fillId="0" borderId="21" xfId="0" applyNumberFormat="1" applyFont="1" applyFill="1" applyBorder="1"/>
    <xf numFmtId="3" fontId="16" fillId="7" borderId="1" xfId="0" applyNumberFormat="1" applyFont="1" applyFill="1" applyBorder="1"/>
    <xf numFmtId="3" fontId="16" fillId="7" borderId="1" xfId="0" applyNumberFormat="1" applyFont="1" applyFill="1" applyBorder="1" applyAlignment="1"/>
    <xf numFmtId="0" fontId="0" fillId="8" borderId="0" xfId="0" applyFill="1"/>
    <xf numFmtId="3" fontId="1" fillId="0" borderId="77" xfId="0" applyNumberFormat="1" applyFont="1" applyFill="1" applyBorder="1"/>
    <xf numFmtId="0" fontId="0" fillId="0" borderId="67" xfId="0" applyFont="1" applyFill="1" applyBorder="1" applyAlignment="1"/>
    <xf numFmtId="3" fontId="14" fillId="5" borderId="49" xfId="0" applyNumberFormat="1" applyFont="1" applyFill="1" applyBorder="1" applyAlignment="1">
      <alignment horizontal="center" vertical="center" wrapText="1"/>
    </xf>
    <xf numFmtId="3" fontId="7" fillId="0" borderId="21" xfId="0" applyNumberFormat="1" applyFont="1" applyFill="1" applyBorder="1"/>
    <xf numFmtId="3" fontId="7" fillId="7" borderId="1" xfId="0" applyNumberFormat="1" applyFont="1" applyFill="1" applyBorder="1"/>
    <xf numFmtId="3" fontId="16" fillId="7" borderId="3" xfId="0" applyNumberFormat="1" applyFont="1" applyFill="1" applyBorder="1" applyAlignment="1"/>
    <xf numFmtId="3" fontId="7" fillId="0" borderId="0" xfId="0" applyNumberFormat="1" applyFont="1" applyFill="1" applyBorder="1"/>
    <xf numFmtId="3" fontId="7" fillId="0" borderId="0" xfId="0" applyNumberFormat="1" applyFont="1"/>
    <xf numFmtId="0" fontId="7" fillId="0" borderId="0" xfId="0" applyFont="1" applyFill="1"/>
    <xf numFmtId="0" fontId="7" fillId="0" borderId="27" xfId="0" applyFont="1" applyFill="1" applyBorder="1"/>
    <xf numFmtId="3" fontId="7" fillId="0" borderId="27" xfId="0" applyNumberFormat="1" applyFont="1" applyFill="1" applyBorder="1" applyAlignment="1"/>
    <xf numFmtId="3" fontId="7" fillId="0" borderId="27" xfId="0" applyNumberFormat="1" applyFont="1" applyFill="1" applyBorder="1"/>
    <xf numFmtId="0" fontId="7" fillId="0" borderId="1" xfId="0" applyFont="1" applyBorder="1"/>
    <xf numFmtId="3" fontId="0" fillId="7" borderId="1" xfId="0" applyNumberFormat="1" applyFill="1" applyBorder="1"/>
    <xf numFmtId="0" fontId="16" fillId="7" borderId="1" xfId="0" applyFont="1" applyFill="1" applyBorder="1"/>
    <xf numFmtId="0" fontId="0" fillId="0" borderId="78" xfId="0" applyFont="1" applyFill="1" applyBorder="1"/>
    <xf numFmtId="3" fontId="16" fillId="0" borderId="78" xfId="0" applyNumberFormat="1" applyFont="1" applyFill="1" applyBorder="1"/>
    <xf numFmtId="0" fontId="16" fillId="0" borderId="78" xfId="0" applyFont="1" applyFill="1" applyBorder="1"/>
    <xf numFmtId="3" fontId="16" fillId="0" borderId="78" xfId="0" applyNumberFormat="1" applyFont="1" applyFill="1" applyBorder="1" applyAlignment="1">
      <alignment horizontal="right"/>
    </xf>
    <xf numFmtId="3" fontId="16" fillId="0" borderId="52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0" fontId="0" fillId="7" borderId="1" xfId="0" applyFill="1" applyBorder="1"/>
    <xf numFmtId="3" fontId="7" fillId="0" borderId="22" xfId="0" applyNumberFormat="1" applyFont="1" applyFill="1" applyBorder="1"/>
    <xf numFmtId="3" fontId="7" fillId="0" borderId="50" xfId="0" applyNumberFormat="1" applyFont="1" applyFill="1" applyBorder="1" applyAlignment="1">
      <alignment horizontal="center"/>
    </xf>
    <xf numFmtId="0" fontId="7" fillId="0" borderId="22" xfId="0" applyFont="1" applyFill="1" applyBorder="1"/>
    <xf numFmtId="0" fontId="7" fillId="0" borderId="50" xfId="0" applyFont="1" applyFill="1" applyBorder="1"/>
    <xf numFmtId="3" fontId="7" fillId="0" borderId="22" xfId="0" applyNumberFormat="1" applyFont="1" applyFill="1" applyBorder="1" applyAlignment="1">
      <alignment horizontal="center"/>
    </xf>
    <xf numFmtId="3" fontId="16" fillId="0" borderId="50" xfId="0" applyNumberFormat="1" applyFont="1" applyFill="1" applyBorder="1"/>
    <xf numFmtId="3" fontId="7" fillId="7" borderId="22" xfId="0" applyNumberFormat="1" applyFont="1" applyFill="1" applyBorder="1"/>
    <xf numFmtId="0" fontId="7" fillId="7" borderId="50" xfId="0" applyFont="1" applyFill="1" applyBorder="1"/>
    <xf numFmtId="3" fontId="7" fillId="0" borderId="50" xfId="0" applyNumberFormat="1" applyFont="1" applyFill="1" applyBorder="1" applyAlignment="1"/>
    <xf numFmtId="0" fontId="7" fillId="0" borderId="22" xfId="0" applyFont="1" applyFill="1" applyBorder="1" applyAlignment="1">
      <alignment horizontal="right"/>
    </xf>
    <xf numFmtId="3" fontId="7" fillId="0" borderId="22" xfId="0" applyNumberFormat="1" applyFont="1" applyFill="1" applyBorder="1" applyAlignment="1">
      <alignment horizontal="right"/>
    </xf>
    <xf numFmtId="0" fontId="1" fillId="0" borderId="0" xfId="0" applyFont="1"/>
    <xf numFmtId="0" fontId="0" fillId="9" borderId="0" xfId="0" applyFill="1"/>
    <xf numFmtId="3" fontId="1" fillId="3" borderId="0" xfId="0" applyNumberFormat="1" applyFont="1" applyFill="1" applyAlignment="1">
      <alignment horizontal="center"/>
    </xf>
    <xf numFmtId="3" fontId="19" fillId="3" borderId="0" xfId="0" applyNumberFormat="1" applyFont="1" applyFill="1" applyAlignment="1">
      <alignment horizontal="center"/>
    </xf>
    <xf numFmtId="0" fontId="2" fillId="3" borderId="70" xfId="0" applyFont="1" applyFill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7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0" borderId="51" xfId="0" applyFont="1" applyFill="1" applyBorder="1" applyAlignment="1">
      <alignment vertical="center" wrapText="1"/>
    </xf>
    <xf numFmtId="0" fontId="0" fillId="0" borderId="59" xfId="0" applyBorder="1" applyAlignment="1">
      <alignment horizont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3" borderId="74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left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3" fontId="10" fillId="5" borderId="36" xfId="0" applyNumberFormat="1" applyFont="1" applyFill="1" applyBorder="1" applyAlignment="1">
      <alignment horizontal="center" vertical="center" wrapText="1"/>
    </xf>
    <xf numFmtId="3" fontId="10" fillId="5" borderId="33" xfId="0" applyNumberFormat="1" applyFont="1" applyFill="1" applyBorder="1" applyAlignment="1">
      <alignment horizontal="center" vertical="center" wrapText="1"/>
    </xf>
    <xf numFmtId="3" fontId="10" fillId="5" borderId="35" xfId="0" applyNumberFormat="1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14" fillId="6" borderId="36" xfId="0" applyFont="1" applyFill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6" borderId="42" xfId="0" applyFont="1" applyFill="1" applyBorder="1" applyAlignment="1">
      <alignment horizontal="center" vertical="center" wrapText="1"/>
    </xf>
    <xf numFmtId="0" fontId="13" fillId="6" borderId="43" xfId="0" applyFont="1" applyFill="1" applyBorder="1" applyAlignment="1">
      <alignment horizontal="center" vertical="center" wrapText="1"/>
    </xf>
    <xf numFmtId="0" fontId="13" fillId="6" borderId="44" xfId="0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center" vertical="center" wrapText="1"/>
    </xf>
    <xf numFmtId="0" fontId="13" fillId="6" borderId="46" xfId="0" applyFont="1" applyFill="1" applyBorder="1" applyAlignment="1">
      <alignment horizontal="center" vertical="center" wrapText="1"/>
    </xf>
    <xf numFmtId="0" fontId="13" fillId="6" borderId="4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4" sqref="B4:C5"/>
    </sheetView>
  </sheetViews>
  <sheetFormatPr defaultColWidth="8.85546875" defaultRowHeight="15" x14ac:dyDescent="0.25"/>
  <cols>
    <col min="1" max="1" width="34.7109375" style="1" customWidth="1"/>
    <col min="2" max="3" width="11.42578125" style="1" customWidth="1"/>
    <col min="4" max="4" width="6.85546875" style="1" customWidth="1"/>
    <col min="5" max="7" width="9.85546875" style="1" bestFit="1" customWidth="1"/>
    <col min="8" max="8" width="8.85546875" style="1"/>
    <col min="9" max="9" width="10.42578125" style="1" customWidth="1"/>
    <col min="10" max="10" width="8.85546875" style="1" bestFit="1" customWidth="1"/>
    <col min="11" max="11" width="8.85546875" style="1"/>
    <col min="12" max="12" width="11.140625" style="1" customWidth="1"/>
    <col min="13" max="13" width="11.7109375" style="1" bestFit="1" customWidth="1"/>
    <col min="14" max="14" width="9.5703125" style="1" bestFit="1" customWidth="1"/>
    <col min="15" max="15" width="10.42578125" style="1" customWidth="1"/>
    <col min="16" max="16" width="10.140625" style="1" customWidth="1"/>
    <col min="17" max="17" width="13.42578125" style="1" customWidth="1"/>
    <col min="18" max="18" width="11.42578125" style="1" customWidth="1"/>
    <col min="19" max="19" width="11.85546875" style="1" customWidth="1"/>
    <col min="20" max="20" width="12" style="1" customWidth="1"/>
    <col min="21" max="16384" width="8.85546875" style="1"/>
  </cols>
  <sheetData>
    <row r="1" spans="1:20" ht="27.75" customHeight="1" thickBot="1" x14ac:dyDescent="0.3">
      <c r="A1" s="214" t="s">
        <v>175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6"/>
      <c r="Q1" s="127" t="s">
        <v>136</v>
      </c>
      <c r="R1" s="219" t="s">
        <v>79</v>
      </c>
      <c r="S1" s="213" t="s">
        <v>135</v>
      </c>
      <c r="T1" s="212" t="s">
        <v>182</v>
      </c>
    </row>
    <row r="2" spans="1:20" ht="16.5" customHeight="1" thickBot="1" x14ac:dyDescent="0.4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12"/>
      <c r="S2" s="213"/>
      <c r="T2" s="212"/>
    </row>
    <row r="3" spans="1:20" ht="16.5" customHeight="1" thickBot="1" x14ac:dyDescent="0.3">
      <c r="A3" s="98" t="s">
        <v>18</v>
      </c>
      <c r="B3" s="220" t="s">
        <v>0</v>
      </c>
      <c r="C3" s="220"/>
      <c r="D3" s="99"/>
      <c r="E3" s="100" t="s">
        <v>2</v>
      </c>
      <c r="F3" s="100" t="s">
        <v>3</v>
      </c>
      <c r="G3" s="100" t="s">
        <v>4</v>
      </c>
      <c r="H3" s="100" t="s">
        <v>5</v>
      </c>
      <c r="I3" s="100" t="s">
        <v>6</v>
      </c>
      <c r="J3" s="100" t="s">
        <v>7</v>
      </c>
      <c r="K3" s="100" t="s">
        <v>8</v>
      </c>
      <c r="L3" s="100" t="s">
        <v>9</v>
      </c>
      <c r="M3" s="100" t="s">
        <v>10</v>
      </c>
      <c r="N3" s="100" t="s">
        <v>11</v>
      </c>
      <c r="O3" s="100" t="s">
        <v>12</v>
      </c>
      <c r="P3" s="123" t="s">
        <v>13</v>
      </c>
      <c r="Q3" s="124" t="s">
        <v>19</v>
      </c>
      <c r="R3" s="219"/>
      <c r="S3" s="213"/>
      <c r="T3" s="212"/>
    </row>
    <row r="4" spans="1:20" x14ac:dyDescent="0.25">
      <c r="A4" s="217" t="s">
        <v>183</v>
      </c>
      <c r="B4" s="222" t="s">
        <v>84</v>
      </c>
      <c r="C4" s="222"/>
      <c r="D4" s="80" t="s">
        <v>22</v>
      </c>
      <c r="E4" s="158">
        <f>(23116+7165)/5</f>
        <v>6056.2</v>
      </c>
      <c r="F4" s="160">
        <v>6056.2</v>
      </c>
      <c r="G4" s="160">
        <v>6056.2</v>
      </c>
      <c r="H4" s="160">
        <v>6056.2</v>
      </c>
      <c r="I4" s="159">
        <f>6056.2+3500</f>
        <v>9556.2000000000007</v>
      </c>
      <c r="J4" s="175">
        <v>175</v>
      </c>
      <c r="K4" s="176">
        <v>157</v>
      </c>
      <c r="L4" s="176">
        <v>157</v>
      </c>
      <c r="M4" s="176">
        <v>3310</v>
      </c>
      <c r="N4" s="120">
        <v>5985</v>
      </c>
      <c r="O4" s="120">
        <v>9405</v>
      </c>
      <c r="P4" s="121">
        <v>17100</v>
      </c>
      <c r="Q4" s="122">
        <f t="shared" ref="Q4:Q13" si="0">SUM(E4:P4)</f>
        <v>70070</v>
      </c>
      <c r="R4" s="12"/>
      <c r="S4" s="11">
        <f>+Q4/34.5</f>
        <v>2031.0144927536232</v>
      </c>
      <c r="T4" s="12"/>
    </row>
    <row r="5" spans="1:20" x14ac:dyDescent="0.25">
      <c r="A5" s="218"/>
      <c r="B5" s="208"/>
      <c r="C5" s="208"/>
      <c r="D5" s="76" t="s">
        <v>20</v>
      </c>
      <c r="E5" s="143">
        <f>(68608+24468+2722+2831+5130)/5</f>
        <v>20751.8</v>
      </c>
      <c r="F5" s="95">
        <v>20751.8</v>
      </c>
      <c r="G5" s="95">
        <v>20751.8</v>
      </c>
      <c r="H5" s="95">
        <v>20751.8</v>
      </c>
      <c r="I5" s="144">
        <f>20751.8+13441</f>
        <v>34192.800000000003</v>
      </c>
      <c r="J5" s="95">
        <v>1498</v>
      </c>
      <c r="K5" s="24">
        <v>1416</v>
      </c>
      <c r="L5" s="24">
        <v>1416</v>
      </c>
      <c r="M5" s="24">
        <v>11605</v>
      </c>
      <c r="N5" s="8">
        <v>20306</v>
      </c>
      <c r="O5" s="8">
        <v>30247</v>
      </c>
      <c r="P5" s="19">
        <v>52910</v>
      </c>
      <c r="Q5" s="81">
        <f t="shared" si="0"/>
        <v>236598</v>
      </c>
      <c r="R5" s="12">
        <f>+Q5/Q4</f>
        <v>3.3765948337376908</v>
      </c>
      <c r="S5" s="11"/>
      <c r="T5" s="12">
        <f>+R5*34.87</f>
        <v>117.74186185243327</v>
      </c>
    </row>
    <row r="6" spans="1:20" x14ac:dyDescent="0.25">
      <c r="A6" s="209" t="s">
        <v>77</v>
      </c>
      <c r="B6" s="208" t="s">
        <v>85</v>
      </c>
      <c r="C6" s="208"/>
      <c r="D6" s="76" t="s">
        <v>22</v>
      </c>
      <c r="E6" s="26">
        <v>0</v>
      </c>
      <c r="F6" s="92">
        <v>0</v>
      </c>
      <c r="G6" s="92">
        <v>0</v>
      </c>
      <c r="H6" s="92">
        <v>0</v>
      </c>
      <c r="I6" s="92">
        <v>0</v>
      </c>
      <c r="J6" s="95">
        <v>17041</v>
      </c>
      <c r="K6" s="94">
        <v>2303</v>
      </c>
      <c r="L6" s="94">
        <v>2303</v>
      </c>
      <c r="M6" s="129">
        <f>1120-2303-2303</f>
        <v>-3486</v>
      </c>
      <c r="N6" s="10">
        <v>4070</v>
      </c>
      <c r="O6" s="10">
        <v>6395</v>
      </c>
      <c r="P6" s="20">
        <v>11628</v>
      </c>
      <c r="Q6" s="30">
        <f t="shared" si="0"/>
        <v>40254</v>
      </c>
      <c r="R6" s="12"/>
      <c r="S6" s="11">
        <f t="shared" ref="S6:S12" si="1">+Q6/34.5</f>
        <v>1166.7826086956522</v>
      </c>
      <c r="T6" s="12"/>
    </row>
    <row r="7" spans="1:20" x14ac:dyDescent="0.25">
      <c r="A7" s="209"/>
      <c r="B7" s="208"/>
      <c r="C7" s="208"/>
      <c r="D7" s="76" t="s">
        <v>20</v>
      </c>
      <c r="E7" s="26">
        <v>1026</v>
      </c>
      <c r="F7" s="92">
        <v>1026</v>
      </c>
      <c r="G7" s="92">
        <v>1026</v>
      </c>
      <c r="H7" s="92">
        <v>0</v>
      </c>
      <c r="I7" s="92">
        <v>0</v>
      </c>
      <c r="J7" s="95">
        <f>59859-3*1026</f>
        <v>56781</v>
      </c>
      <c r="K7" s="92">
        <v>9309</v>
      </c>
      <c r="L7" s="92">
        <v>8283</v>
      </c>
      <c r="M7" s="95">
        <v>-10984</v>
      </c>
      <c r="N7" s="10">
        <v>14689</v>
      </c>
      <c r="O7" s="10">
        <v>21419</v>
      </c>
      <c r="P7" s="20">
        <v>36859</v>
      </c>
      <c r="Q7" s="81">
        <f t="shared" si="0"/>
        <v>139434</v>
      </c>
      <c r="R7" s="12">
        <f>+Q7/Q6</f>
        <v>3.4638545237740348</v>
      </c>
      <c r="S7" s="11"/>
      <c r="T7" s="12">
        <f t="shared" ref="T7:T15" si="2">+R7*34.87</f>
        <v>120.78460724400058</v>
      </c>
    </row>
    <row r="8" spans="1:20" x14ac:dyDescent="0.25">
      <c r="A8" s="209" t="s">
        <v>153</v>
      </c>
      <c r="B8" s="208" t="s">
        <v>86</v>
      </c>
      <c r="C8" s="208"/>
      <c r="D8" s="76" t="s">
        <v>22</v>
      </c>
      <c r="E8" s="20">
        <v>6422</v>
      </c>
      <c r="F8" s="10">
        <v>6422</v>
      </c>
      <c r="G8" s="10">
        <v>6422</v>
      </c>
      <c r="H8" s="10">
        <v>6422</v>
      </c>
      <c r="I8" s="10">
        <v>6422</v>
      </c>
      <c r="J8" s="10">
        <v>6422</v>
      </c>
      <c r="K8" s="177">
        <f>71053-38532</f>
        <v>32521</v>
      </c>
      <c r="L8" s="110">
        <v>10854</v>
      </c>
      <c r="M8" s="129">
        <f>1524-10854</f>
        <v>-9330</v>
      </c>
      <c r="N8" s="10">
        <v>13543</v>
      </c>
      <c r="O8" s="8">
        <v>13543</v>
      </c>
      <c r="P8" s="19">
        <v>30096</v>
      </c>
      <c r="Q8" s="30">
        <f t="shared" si="0"/>
        <v>129759</v>
      </c>
      <c r="R8" s="12"/>
      <c r="S8" s="11">
        <f t="shared" si="1"/>
        <v>3761.1304347826085</v>
      </c>
      <c r="T8" s="12"/>
    </row>
    <row r="9" spans="1:20" x14ac:dyDescent="0.25">
      <c r="A9" s="209"/>
      <c r="B9" s="208"/>
      <c r="C9" s="208"/>
      <c r="D9" s="76" t="s">
        <v>20</v>
      </c>
      <c r="E9" s="26">
        <v>22579</v>
      </c>
      <c r="F9" s="92">
        <v>22575</v>
      </c>
      <c r="G9" s="92">
        <v>22727</v>
      </c>
      <c r="H9" s="92">
        <v>22575</v>
      </c>
      <c r="I9" s="92">
        <v>22626</v>
      </c>
      <c r="J9" s="92">
        <v>22575</v>
      </c>
      <c r="K9" s="117">
        <f>245977+7*1026-135657</f>
        <v>117502</v>
      </c>
      <c r="L9" s="109">
        <v>38273</v>
      </c>
      <c r="M9" s="95">
        <f>-73283+35010</f>
        <v>-38273</v>
      </c>
      <c r="N9" s="10">
        <v>46488</v>
      </c>
      <c r="O9" s="8">
        <v>46489</v>
      </c>
      <c r="P9" s="19">
        <v>95157</v>
      </c>
      <c r="Q9" s="81">
        <f t="shared" si="0"/>
        <v>441293</v>
      </c>
      <c r="R9" s="12">
        <f>+Q9/Q8</f>
        <v>3.4008662212255025</v>
      </c>
      <c r="S9" s="11"/>
      <c r="T9" s="12">
        <f t="shared" si="2"/>
        <v>118.58820513413326</v>
      </c>
    </row>
    <row r="10" spans="1:20" x14ac:dyDescent="0.25">
      <c r="A10" s="209" t="s">
        <v>154</v>
      </c>
      <c r="B10" s="208" t="s">
        <v>87</v>
      </c>
      <c r="C10" s="208"/>
      <c r="D10" s="76" t="s">
        <v>22</v>
      </c>
      <c r="E10" s="26">
        <v>8516</v>
      </c>
      <c r="F10" s="92">
        <v>8516</v>
      </c>
      <c r="G10" s="92">
        <v>8516</v>
      </c>
      <c r="H10" s="92">
        <v>8516</v>
      </c>
      <c r="I10" s="92">
        <v>8516</v>
      </c>
      <c r="J10" s="92">
        <v>8516</v>
      </c>
      <c r="K10" s="95">
        <v>43669</v>
      </c>
      <c r="L10" s="10">
        <v>13646</v>
      </c>
      <c r="M10" s="24">
        <f>13646+1373-13646-13646</f>
        <v>-12273</v>
      </c>
      <c r="N10" s="10">
        <v>8310</v>
      </c>
      <c r="O10" s="8">
        <v>8311</v>
      </c>
      <c r="P10" s="19">
        <v>18468</v>
      </c>
      <c r="Q10" s="30">
        <f t="shared" si="0"/>
        <v>131227</v>
      </c>
      <c r="R10" s="12"/>
      <c r="S10" s="11">
        <f t="shared" si="1"/>
        <v>3803.68115942029</v>
      </c>
      <c r="T10" s="12"/>
    </row>
    <row r="11" spans="1:20" x14ac:dyDescent="0.25">
      <c r="A11" s="209"/>
      <c r="B11" s="208"/>
      <c r="C11" s="208"/>
      <c r="D11" s="76" t="s">
        <v>20</v>
      </c>
      <c r="E11" s="26">
        <v>30112</v>
      </c>
      <c r="F11" s="92">
        <v>30111</v>
      </c>
      <c r="G11" s="92">
        <v>30263</v>
      </c>
      <c r="H11" s="92">
        <v>30111</v>
      </c>
      <c r="I11" s="92">
        <v>30162</v>
      </c>
      <c r="J11" s="92">
        <v>30111</v>
      </c>
      <c r="K11" s="95">
        <f>331152+7*1026-180870</f>
        <v>157464</v>
      </c>
      <c r="L11" s="10">
        <v>48622</v>
      </c>
      <c r="M11" s="24">
        <f>48571-94069</f>
        <v>-45498</v>
      </c>
      <c r="N11" s="10">
        <v>27082</v>
      </c>
      <c r="O11" s="8">
        <v>27083</v>
      </c>
      <c r="P11" s="19">
        <v>56923</v>
      </c>
      <c r="Q11" s="81">
        <f t="shared" si="0"/>
        <v>452546</v>
      </c>
      <c r="R11" s="12">
        <f>+Q11/Q10</f>
        <v>3.4485738453214658</v>
      </c>
      <c r="S11" s="11"/>
      <c r="T11" s="12">
        <f t="shared" si="2"/>
        <v>120.25176998635951</v>
      </c>
    </row>
    <row r="12" spans="1:20" x14ac:dyDescent="0.25">
      <c r="A12" s="209" t="s">
        <v>78</v>
      </c>
      <c r="B12" s="208" t="s">
        <v>88</v>
      </c>
      <c r="C12" s="208"/>
      <c r="D12" s="76" t="s">
        <v>22</v>
      </c>
      <c r="E12" s="26">
        <v>48020</v>
      </c>
      <c r="F12" s="92">
        <v>41160</v>
      </c>
      <c r="G12" s="92">
        <v>25725</v>
      </c>
      <c r="H12" s="92">
        <v>13720</v>
      </c>
      <c r="I12" s="92">
        <v>5145</v>
      </c>
      <c r="J12" s="95">
        <f>150342-133770</f>
        <v>16572</v>
      </c>
      <c r="K12" s="110">
        <v>0</v>
      </c>
      <c r="L12" s="110">
        <v>0</v>
      </c>
      <c r="M12" s="129">
        <v>0</v>
      </c>
      <c r="N12" s="8">
        <v>19218</v>
      </c>
      <c r="O12" s="8">
        <v>34933</v>
      </c>
      <c r="P12" s="19">
        <v>54720</v>
      </c>
      <c r="Q12" s="30">
        <f t="shared" si="0"/>
        <v>259213</v>
      </c>
      <c r="R12" s="12"/>
      <c r="S12" s="11">
        <f t="shared" si="1"/>
        <v>7513.420289855072</v>
      </c>
      <c r="T12" s="12"/>
    </row>
    <row r="13" spans="1:20" ht="15.75" thickBot="1" x14ac:dyDescent="0.3">
      <c r="A13" s="210"/>
      <c r="B13" s="211"/>
      <c r="C13" s="211"/>
      <c r="D13" s="78" t="s">
        <v>20</v>
      </c>
      <c r="E13" s="118">
        <f>152964+5556</f>
        <v>158520</v>
      </c>
      <c r="F13" s="119">
        <f>5556+131112</f>
        <v>136668</v>
      </c>
      <c r="G13" s="119">
        <f>5556+81946</f>
        <v>87502</v>
      </c>
      <c r="H13" s="119">
        <f>5556+43704</f>
        <v>49260</v>
      </c>
      <c r="I13" s="119">
        <f>16388+5556</f>
        <v>21944</v>
      </c>
      <c r="J13" s="131">
        <f>5556+3.18546*J12</f>
        <v>58345.443119999996</v>
      </c>
      <c r="K13" s="119">
        <v>5556</v>
      </c>
      <c r="L13" s="119">
        <v>5556</v>
      </c>
      <c r="M13" s="131">
        <v>5556</v>
      </c>
      <c r="N13" s="28">
        <v>63247</v>
      </c>
      <c r="O13" s="28">
        <v>109125</v>
      </c>
      <c r="P13" s="29">
        <v>167388</v>
      </c>
      <c r="Q13" s="82">
        <f t="shared" si="0"/>
        <v>868667.44311999995</v>
      </c>
      <c r="R13" s="12">
        <f>+Q13/Q12</f>
        <v>3.3511723683611545</v>
      </c>
      <c r="S13" s="11"/>
      <c r="T13" s="12">
        <f t="shared" si="2"/>
        <v>116.85538048475345</v>
      </c>
    </row>
    <row r="14" spans="1:20" x14ac:dyDescent="0.25">
      <c r="A14" s="202" t="s">
        <v>23</v>
      </c>
      <c r="B14" s="203"/>
      <c r="C14" s="204"/>
      <c r="D14" s="125" t="s">
        <v>22</v>
      </c>
      <c r="E14" s="27">
        <f>+E12+E10+E8+E6+E4</f>
        <v>69014.2</v>
      </c>
      <c r="F14" s="27">
        <f t="shared" ref="F14:P14" si="3">+F12+F10+F8+F6+F4</f>
        <v>62154.2</v>
      </c>
      <c r="G14" s="27">
        <f t="shared" si="3"/>
        <v>46719.199999999997</v>
      </c>
      <c r="H14" s="27">
        <f t="shared" si="3"/>
        <v>34714.199999999997</v>
      </c>
      <c r="I14" s="27">
        <f t="shared" si="3"/>
        <v>29639.200000000001</v>
      </c>
      <c r="J14" s="27">
        <f t="shared" si="3"/>
        <v>48726</v>
      </c>
      <c r="K14" s="27">
        <f t="shared" si="3"/>
        <v>78650</v>
      </c>
      <c r="L14" s="27">
        <f t="shared" si="3"/>
        <v>26960</v>
      </c>
      <c r="M14" s="27">
        <f t="shared" si="3"/>
        <v>-21779</v>
      </c>
      <c r="N14" s="27">
        <f t="shared" si="3"/>
        <v>51126</v>
      </c>
      <c r="O14" s="27">
        <f t="shared" si="3"/>
        <v>72587</v>
      </c>
      <c r="P14" s="27">
        <f t="shared" si="3"/>
        <v>132012</v>
      </c>
      <c r="Q14" s="31">
        <f>SUM(E14:P14)</f>
        <v>630523</v>
      </c>
      <c r="R14" s="12"/>
      <c r="S14" s="116">
        <f>SUM(S4:S13)</f>
        <v>18276.028985507248</v>
      </c>
      <c r="T14" s="12"/>
    </row>
    <row r="15" spans="1:20" ht="15.75" thickBot="1" x14ac:dyDescent="0.3">
      <c r="A15" s="205"/>
      <c r="B15" s="206"/>
      <c r="C15" s="207"/>
      <c r="D15" s="126" t="s">
        <v>20</v>
      </c>
      <c r="E15" s="4">
        <f>+E13+E11+E9+E7+E5</f>
        <v>232988.79999999999</v>
      </c>
      <c r="F15" s="4">
        <f t="shared" ref="F15:P15" si="4">+F13+F11+F9+F7+F5</f>
        <v>211131.8</v>
      </c>
      <c r="G15" s="4">
        <f t="shared" si="4"/>
        <v>162269.79999999999</v>
      </c>
      <c r="H15" s="4">
        <f t="shared" si="4"/>
        <v>122697.8</v>
      </c>
      <c r="I15" s="4">
        <f t="shared" si="4"/>
        <v>108924.8</v>
      </c>
      <c r="J15" s="4">
        <f t="shared" si="4"/>
        <v>169310.44312000001</v>
      </c>
      <c r="K15" s="4">
        <f t="shared" si="4"/>
        <v>291247</v>
      </c>
      <c r="L15" s="4">
        <f t="shared" si="4"/>
        <v>102150</v>
      </c>
      <c r="M15" s="4">
        <f t="shared" si="4"/>
        <v>-77594</v>
      </c>
      <c r="N15" s="4">
        <f t="shared" si="4"/>
        <v>171812</v>
      </c>
      <c r="O15" s="4">
        <f t="shared" si="4"/>
        <v>234363</v>
      </c>
      <c r="P15" s="4">
        <f t="shared" si="4"/>
        <v>409237</v>
      </c>
      <c r="Q15" s="83">
        <f>SUM(E15:P15)</f>
        <v>2138538.44312</v>
      </c>
      <c r="R15" s="14">
        <f>+Q15/Q14</f>
        <v>3.3916898243521647</v>
      </c>
      <c r="S15" s="11"/>
      <c r="T15" s="14">
        <f t="shared" si="2"/>
        <v>118.26822417515997</v>
      </c>
    </row>
    <row r="16" spans="1:20" x14ac:dyDescent="0.25">
      <c r="R16" s="14"/>
      <c r="T16" s="12"/>
    </row>
    <row r="17" spans="1:17" x14ac:dyDescent="0.25">
      <c r="A17" s="117" t="s">
        <v>134</v>
      </c>
      <c r="J17" s="11"/>
      <c r="K17" s="11"/>
      <c r="Q17" s="11"/>
    </row>
    <row r="18" spans="1:17" x14ac:dyDescent="0.25">
      <c r="J18" s="11"/>
      <c r="K18" s="11"/>
    </row>
  </sheetData>
  <mergeCells count="17">
    <mergeCell ref="T1:T3"/>
    <mergeCell ref="S1:S3"/>
    <mergeCell ref="A1:P1"/>
    <mergeCell ref="A6:A7"/>
    <mergeCell ref="A4:A5"/>
    <mergeCell ref="R1:R3"/>
    <mergeCell ref="B3:C3"/>
    <mergeCell ref="A2:Q2"/>
    <mergeCell ref="B4:C5"/>
    <mergeCell ref="A14:C15"/>
    <mergeCell ref="B6:C7"/>
    <mergeCell ref="A12:A13"/>
    <mergeCell ref="A10:A11"/>
    <mergeCell ref="B10:C11"/>
    <mergeCell ref="B12:C13"/>
    <mergeCell ref="A8:A9"/>
    <mergeCell ref="B8:C9"/>
  </mergeCells>
  <pageMargins left="0.70866141732283472" right="0.70866141732283472" top="0.74803149606299213" bottom="0.74803149606299213" header="0.31496062992125984" footer="0.31496062992125984"/>
  <pageSetup paperSize="9" scale="61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1"/>
  <sheetViews>
    <sheetView zoomScaleNormal="100" zoomScalePageLayoutView="150" workbookViewId="0">
      <pane xSplit="4" ySplit="3" topLeftCell="E85" activePane="bottomRight" state="frozen"/>
      <selection pane="topRight" activeCell="E1" sqref="E1"/>
      <selection pane="bottomLeft" activeCell="A4" sqref="A4"/>
      <selection pane="bottomRight" activeCell="T111" sqref="T111"/>
    </sheetView>
  </sheetViews>
  <sheetFormatPr defaultColWidth="8.85546875" defaultRowHeight="15" x14ac:dyDescent="0.25"/>
  <cols>
    <col min="1" max="1" width="35.28515625" customWidth="1"/>
    <col min="2" max="2" width="17.140625" customWidth="1"/>
    <col min="3" max="3" width="21.7109375" customWidth="1"/>
    <col min="4" max="4" width="7" customWidth="1"/>
    <col min="5" max="10" width="8.85546875" bestFit="1" customWidth="1"/>
    <col min="11" max="11" width="9.85546875" bestFit="1" customWidth="1"/>
    <col min="12" max="12" width="9.85546875" customWidth="1"/>
    <col min="13" max="13" width="11.7109375" customWidth="1"/>
    <col min="14" max="14" width="8.85546875" bestFit="1" customWidth="1"/>
    <col min="15" max="15" width="10.42578125" customWidth="1"/>
    <col min="16" max="16" width="10.140625" customWidth="1"/>
    <col min="17" max="17" width="12.5703125" customWidth="1"/>
    <col min="18" max="18" width="9.7109375" customWidth="1"/>
    <col min="19" max="19" width="11.140625" customWidth="1"/>
    <col min="20" max="20" width="16.5703125" customWidth="1"/>
    <col min="21" max="21" width="10.85546875" customWidth="1"/>
    <col min="22" max="22" width="11.140625" customWidth="1"/>
    <col min="23" max="23" width="11.7109375" customWidth="1"/>
  </cols>
  <sheetData>
    <row r="1" spans="1:21" ht="29.25" customHeight="1" thickBot="1" x14ac:dyDescent="0.3">
      <c r="A1" s="214" t="s">
        <v>174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6"/>
      <c r="Q1" s="127" t="s">
        <v>137</v>
      </c>
      <c r="R1" s="226" t="s">
        <v>127</v>
      </c>
      <c r="S1" s="213" t="s">
        <v>189</v>
      </c>
      <c r="T1" s="213" t="s">
        <v>206</v>
      </c>
      <c r="U1" s="213" t="s">
        <v>190</v>
      </c>
    </row>
    <row r="2" spans="1:21" ht="15.75" thickBot="1" x14ac:dyDescent="0.3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27"/>
      <c r="S2" s="213"/>
      <c r="T2" s="213"/>
      <c r="U2" s="213"/>
    </row>
    <row r="3" spans="1:21" ht="15.75" thickBot="1" x14ac:dyDescent="0.3">
      <c r="A3" s="98" t="s">
        <v>18</v>
      </c>
      <c r="B3" s="220" t="s">
        <v>0</v>
      </c>
      <c r="C3" s="220"/>
      <c r="D3" s="99"/>
      <c r="E3" s="100" t="s">
        <v>2</v>
      </c>
      <c r="F3" s="100" t="s">
        <v>3</v>
      </c>
      <c r="G3" s="100" t="s">
        <v>4</v>
      </c>
      <c r="H3" s="100" t="s">
        <v>5</v>
      </c>
      <c r="I3" s="100" t="s">
        <v>6</v>
      </c>
      <c r="J3" s="100" t="s">
        <v>7</v>
      </c>
      <c r="K3" s="100" t="s">
        <v>8</v>
      </c>
      <c r="L3" s="100" t="s">
        <v>9</v>
      </c>
      <c r="M3" s="100" t="s">
        <v>10</v>
      </c>
      <c r="N3" s="100" t="s">
        <v>11</v>
      </c>
      <c r="O3" s="100" t="s">
        <v>12</v>
      </c>
      <c r="P3" s="100" t="s">
        <v>13</v>
      </c>
      <c r="Q3" s="101" t="s">
        <v>19</v>
      </c>
      <c r="R3" s="226"/>
      <c r="S3" s="213"/>
      <c r="T3" s="213"/>
      <c r="U3" s="213"/>
    </row>
    <row r="4" spans="1:21" x14ac:dyDescent="0.25">
      <c r="A4" s="266" t="s">
        <v>76</v>
      </c>
      <c r="B4" s="268" t="s">
        <v>25</v>
      </c>
      <c r="C4" s="269"/>
      <c r="D4" s="80" t="s">
        <v>21</v>
      </c>
      <c r="E4" s="148">
        <v>0</v>
      </c>
      <c r="F4" s="150">
        <v>0</v>
      </c>
      <c r="G4" s="150">
        <v>0</v>
      </c>
      <c r="H4" s="166">
        <v>0</v>
      </c>
      <c r="I4" s="107">
        <v>0</v>
      </c>
      <c r="J4" s="107">
        <v>0</v>
      </c>
      <c r="K4" s="107">
        <v>0</v>
      </c>
      <c r="L4" s="174">
        <v>0</v>
      </c>
      <c r="M4" s="107">
        <v>2</v>
      </c>
      <c r="N4" s="107">
        <v>2</v>
      </c>
      <c r="O4" s="107">
        <v>2</v>
      </c>
      <c r="P4" s="174">
        <f>2+7</f>
        <v>9</v>
      </c>
      <c r="Q4" s="97">
        <f>SUM(E4:P4)</f>
        <v>15</v>
      </c>
      <c r="R4" s="15"/>
      <c r="S4" s="105">
        <v>0</v>
      </c>
      <c r="T4" s="130">
        <f>+Q4</f>
        <v>15</v>
      </c>
    </row>
    <row r="5" spans="1:21" x14ac:dyDescent="0.25">
      <c r="A5" s="242"/>
      <c r="B5" s="239"/>
      <c r="C5" s="240"/>
      <c r="D5" s="76" t="s">
        <v>20</v>
      </c>
      <c r="E5" s="26">
        <v>120.5</v>
      </c>
      <c r="F5" s="92">
        <v>120.5</v>
      </c>
      <c r="G5" s="92">
        <v>120.5</v>
      </c>
      <c r="H5" s="149">
        <v>120.5</v>
      </c>
      <c r="I5" s="108">
        <v>0</v>
      </c>
      <c r="J5" s="24">
        <v>365</v>
      </c>
      <c r="K5" s="108">
        <v>157</v>
      </c>
      <c r="L5" s="24">
        <v>157</v>
      </c>
      <c r="M5" s="108">
        <f>49+156</f>
        <v>205</v>
      </c>
      <c r="N5" s="108">
        <f>49+156</f>
        <v>205</v>
      </c>
      <c r="O5" s="108">
        <v>49</v>
      </c>
      <c r="P5" s="24">
        <f>50+508+113</f>
        <v>671</v>
      </c>
      <c r="Q5" s="79">
        <f t="shared" ref="Q5:Q70" si="0">SUM(E5:P5)</f>
        <v>2291</v>
      </c>
      <c r="R5" s="15">
        <f>+Q5/Q4</f>
        <v>152.73333333333332</v>
      </c>
      <c r="S5" s="105"/>
      <c r="T5" s="105"/>
    </row>
    <row r="6" spans="1:21" x14ac:dyDescent="0.25">
      <c r="A6" s="241" t="s">
        <v>61</v>
      </c>
      <c r="B6" s="236" t="s">
        <v>26</v>
      </c>
      <c r="C6" s="270"/>
      <c r="D6" s="76" t="s">
        <v>21</v>
      </c>
      <c r="E6" s="140">
        <v>36</v>
      </c>
      <c r="F6" s="109">
        <v>33</v>
      </c>
      <c r="G6" s="109">
        <v>36</v>
      </c>
      <c r="H6" s="141">
        <v>35</v>
      </c>
      <c r="I6" s="108">
        <v>36</v>
      </c>
      <c r="J6" s="108">
        <v>35</v>
      </c>
      <c r="K6" s="108">
        <v>36</v>
      </c>
      <c r="L6" s="24">
        <v>-44</v>
      </c>
      <c r="M6" s="108">
        <v>25</v>
      </c>
      <c r="N6" s="108">
        <v>25</v>
      </c>
      <c r="O6" s="108">
        <v>25</v>
      </c>
      <c r="P6" s="24">
        <f>25+47-5</f>
        <v>67</v>
      </c>
      <c r="Q6" s="21">
        <f t="shared" si="0"/>
        <v>345</v>
      </c>
      <c r="R6" s="15"/>
      <c r="S6" s="105">
        <v>299</v>
      </c>
      <c r="T6" s="130">
        <f>+Q6</f>
        <v>345</v>
      </c>
    </row>
    <row r="7" spans="1:21" x14ac:dyDescent="0.25">
      <c r="A7" s="242"/>
      <c r="B7" s="271"/>
      <c r="C7" s="272"/>
      <c r="D7" s="76" t="s">
        <v>20</v>
      </c>
      <c r="E7" s="140">
        <f>849+627</f>
        <v>1476</v>
      </c>
      <c r="F7" s="109">
        <f>810+598</f>
        <v>1408</v>
      </c>
      <c r="G7" s="109">
        <f>903+613</f>
        <v>1516</v>
      </c>
      <c r="H7" s="141">
        <f>877+670</f>
        <v>1547</v>
      </c>
      <c r="I7" s="108">
        <f>904+641</f>
        <v>1545</v>
      </c>
      <c r="J7" s="108">
        <v>868</v>
      </c>
      <c r="K7" s="24">
        <f>874-599+460</f>
        <v>735</v>
      </c>
      <c r="L7" s="24">
        <f>-1088+460</f>
        <v>-628</v>
      </c>
      <c r="M7" s="108">
        <f>610+497</f>
        <v>1107</v>
      </c>
      <c r="N7" s="108">
        <f>609+496</f>
        <v>1105</v>
      </c>
      <c r="O7" s="108">
        <f>615+490</f>
        <v>1105</v>
      </c>
      <c r="P7" s="24">
        <f>622+490+214-113</f>
        <v>1213</v>
      </c>
      <c r="Q7" s="79">
        <f t="shared" si="0"/>
        <v>12997</v>
      </c>
      <c r="R7" s="15">
        <f>+Q7/Q6</f>
        <v>37.672463768115939</v>
      </c>
      <c r="S7" s="105"/>
      <c r="T7" s="105"/>
    </row>
    <row r="8" spans="1:21" x14ac:dyDescent="0.25">
      <c r="A8" s="224" t="s">
        <v>151</v>
      </c>
      <c r="B8" s="232" t="s">
        <v>133</v>
      </c>
      <c r="C8" s="233"/>
      <c r="D8" s="76" t="s">
        <v>21</v>
      </c>
      <c r="E8" s="140">
        <v>344</v>
      </c>
      <c r="F8" s="109">
        <v>311</v>
      </c>
      <c r="G8" s="109">
        <v>344</v>
      </c>
      <c r="H8" s="141">
        <v>333</v>
      </c>
      <c r="I8" s="108">
        <v>344</v>
      </c>
      <c r="J8" s="108">
        <v>333</v>
      </c>
      <c r="K8" s="108">
        <v>344</v>
      </c>
      <c r="L8" s="108">
        <v>344</v>
      </c>
      <c r="M8" s="108">
        <v>333</v>
      </c>
      <c r="N8" s="24">
        <v>342</v>
      </c>
      <c r="O8" s="108">
        <v>333</v>
      </c>
      <c r="P8" s="197">
        <v>344</v>
      </c>
      <c r="Q8" s="21">
        <f t="shared" si="0"/>
        <v>4049</v>
      </c>
      <c r="R8" s="15"/>
      <c r="S8" s="105">
        <v>4050</v>
      </c>
      <c r="T8" s="130">
        <f>+Q8</f>
        <v>4049</v>
      </c>
    </row>
    <row r="9" spans="1:21" x14ac:dyDescent="0.25">
      <c r="A9" s="225"/>
      <c r="B9" s="234"/>
      <c r="C9" s="235"/>
      <c r="D9" s="76" t="s">
        <v>20</v>
      </c>
      <c r="E9" s="140">
        <f>8116+4938</f>
        <v>13054</v>
      </c>
      <c r="F9" s="109">
        <f>7629+4619</f>
        <v>12248</v>
      </c>
      <c r="G9" s="109">
        <f>8632+5097</f>
        <v>13729</v>
      </c>
      <c r="H9" s="141">
        <f>8342+5097</f>
        <v>13439</v>
      </c>
      <c r="I9" s="108">
        <f>8639+5415</f>
        <v>14054</v>
      </c>
      <c r="J9" s="108">
        <f>8256+4461</f>
        <v>12717</v>
      </c>
      <c r="K9" s="108">
        <f>8357+5097</f>
        <v>13454</v>
      </c>
      <c r="L9" s="24">
        <f>8259+3792</f>
        <v>12051</v>
      </c>
      <c r="M9" s="108">
        <f>8126+4619</f>
        <v>12745</v>
      </c>
      <c r="N9" s="24">
        <f>8323+5575</f>
        <v>13898</v>
      </c>
      <c r="O9" s="108">
        <f>8193+4287</f>
        <v>12480</v>
      </c>
      <c r="P9" s="196">
        <f>8560+5559-1910-774</f>
        <v>11435</v>
      </c>
      <c r="Q9" s="79">
        <f t="shared" si="0"/>
        <v>155304</v>
      </c>
      <c r="R9" s="15">
        <f>+Q9/Q8</f>
        <v>38.356137317856259</v>
      </c>
      <c r="S9" s="105"/>
      <c r="T9" s="105"/>
    </row>
    <row r="10" spans="1:21" x14ac:dyDescent="0.25">
      <c r="A10" s="241" t="s">
        <v>62</v>
      </c>
      <c r="B10" s="236" t="s">
        <v>27</v>
      </c>
      <c r="C10" s="229"/>
      <c r="D10" s="76" t="s">
        <v>21</v>
      </c>
      <c r="E10" s="13">
        <v>0</v>
      </c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23">
        <v>0</v>
      </c>
      <c r="M10" s="106">
        <v>0</v>
      </c>
      <c r="N10" s="106">
        <v>0</v>
      </c>
      <c r="O10" s="106">
        <v>0</v>
      </c>
      <c r="P10" s="23">
        <v>0</v>
      </c>
      <c r="Q10" s="21">
        <f t="shared" si="0"/>
        <v>0</v>
      </c>
      <c r="R10" s="15"/>
      <c r="S10" s="105">
        <v>0</v>
      </c>
      <c r="T10" s="130">
        <f>+Q10</f>
        <v>0</v>
      </c>
    </row>
    <row r="11" spans="1:21" x14ac:dyDescent="0.25">
      <c r="A11" s="242"/>
      <c r="B11" s="230"/>
      <c r="C11" s="231"/>
      <c r="D11" s="76" t="s">
        <v>20</v>
      </c>
      <c r="E11" s="26">
        <v>120.5</v>
      </c>
      <c r="F11" s="140">
        <v>120.5</v>
      </c>
      <c r="G11" s="140">
        <v>120.5</v>
      </c>
      <c r="H11" s="140">
        <v>120.5</v>
      </c>
      <c r="I11" s="140">
        <v>120.5</v>
      </c>
      <c r="J11" s="109">
        <v>0</v>
      </c>
      <c r="K11" s="95">
        <v>240</v>
      </c>
      <c r="L11" s="95">
        <v>121</v>
      </c>
      <c r="M11" s="109">
        <v>120</v>
      </c>
      <c r="N11" s="109">
        <v>121</v>
      </c>
      <c r="O11" s="109">
        <v>120</v>
      </c>
      <c r="P11" s="151">
        <v>121</v>
      </c>
      <c r="Q11" s="79">
        <f t="shared" si="0"/>
        <v>1445.5</v>
      </c>
      <c r="R11" s="15" t="e">
        <f>+Q11/Q10</f>
        <v>#DIV/0!</v>
      </c>
      <c r="S11" s="105"/>
      <c r="T11" s="105"/>
    </row>
    <row r="12" spans="1:21" ht="15" customHeight="1" x14ac:dyDescent="0.25">
      <c r="A12" s="241" t="s">
        <v>63</v>
      </c>
      <c r="B12" s="237" t="s">
        <v>28</v>
      </c>
      <c r="C12" s="238"/>
      <c r="D12" s="76" t="s">
        <v>21</v>
      </c>
      <c r="E12" s="10">
        <v>1</v>
      </c>
      <c r="F12" s="108">
        <v>1</v>
      </c>
      <c r="G12" s="108">
        <v>1</v>
      </c>
      <c r="H12" s="108">
        <v>1</v>
      </c>
      <c r="I12" s="108">
        <v>1</v>
      </c>
      <c r="J12" s="108">
        <v>1</v>
      </c>
      <c r="K12" s="108">
        <v>1</v>
      </c>
      <c r="L12" s="24">
        <v>173</v>
      </c>
      <c r="M12" s="108">
        <v>22</v>
      </c>
      <c r="N12" s="108">
        <v>23</v>
      </c>
      <c r="O12" s="108">
        <v>22</v>
      </c>
      <c r="P12" s="24">
        <v>23</v>
      </c>
      <c r="Q12" s="21">
        <f t="shared" si="0"/>
        <v>270</v>
      </c>
      <c r="R12" s="15"/>
      <c r="S12" s="105">
        <v>270</v>
      </c>
      <c r="T12" s="130">
        <f>+Q12</f>
        <v>270</v>
      </c>
    </row>
    <row r="13" spans="1:21" x14ac:dyDescent="0.25">
      <c r="A13" s="242"/>
      <c r="B13" s="239"/>
      <c r="C13" s="240"/>
      <c r="D13" s="76" t="s">
        <v>20</v>
      </c>
      <c r="E13" s="10">
        <f>23+131</f>
        <v>154</v>
      </c>
      <c r="F13" s="108">
        <f>24+131</f>
        <v>155</v>
      </c>
      <c r="G13" s="108">
        <f>25+131</f>
        <v>156</v>
      </c>
      <c r="H13" s="108">
        <v>25</v>
      </c>
      <c r="I13" s="108">
        <v>25</v>
      </c>
      <c r="J13" s="108">
        <v>24</v>
      </c>
      <c r="K13" s="24">
        <f>24+2441</f>
        <v>2465</v>
      </c>
      <c r="L13" s="24">
        <f>4249+445</f>
        <v>4694</v>
      </c>
      <c r="M13" s="108">
        <f>537+446</f>
        <v>983</v>
      </c>
      <c r="N13" s="108">
        <f>561+445</f>
        <v>1006</v>
      </c>
      <c r="O13" s="108">
        <f>541+446</f>
        <v>987</v>
      </c>
      <c r="P13" s="187">
        <f>573+453+17-21</f>
        <v>1022</v>
      </c>
      <c r="Q13" s="79">
        <f t="shared" si="0"/>
        <v>11696</v>
      </c>
      <c r="R13" s="15">
        <f>+Q13/Q12</f>
        <v>43.318518518518516</v>
      </c>
      <c r="S13" s="105"/>
      <c r="T13" s="105"/>
    </row>
    <row r="14" spans="1:21" x14ac:dyDescent="0.25">
      <c r="A14" s="241" t="s">
        <v>64</v>
      </c>
      <c r="B14" s="228" t="s">
        <v>29</v>
      </c>
      <c r="C14" s="229"/>
      <c r="D14" s="76" t="s">
        <v>21</v>
      </c>
      <c r="E14" s="10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24">
        <v>0</v>
      </c>
      <c r="Q14" s="21">
        <f t="shared" si="0"/>
        <v>0</v>
      </c>
      <c r="R14" s="15"/>
      <c r="S14" s="105">
        <v>0</v>
      </c>
      <c r="T14" s="130">
        <f>+Q14</f>
        <v>0</v>
      </c>
    </row>
    <row r="15" spans="1:21" x14ac:dyDescent="0.25">
      <c r="A15" s="242"/>
      <c r="B15" s="230"/>
      <c r="C15" s="231"/>
      <c r="D15" s="76" t="s">
        <v>20</v>
      </c>
      <c r="E15" s="92">
        <v>120.5</v>
      </c>
      <c r="F15" s="109">
        <v>120.5</v>
      </c>
      <c r="G15" s="109">
        <v>120.5</v>
      </c>
      <c r="H15" s="109">
        <v>120.5</v>
      </c>
      <c r="I15" s="109">
        <v>120.5</v>
      </c>
      <c r="J15" s="109">
        <v>120</v>
      </c>
      <c r="K15" s="109">
        <v>120</v>
      </c>
      <c r="L15" s="109">
        <v>121</v>
      </c>
      <c r="M15" s="109">
        <v>120</v>
      </c>
      <c r="N15" s="109">
        <v>121</v>
      </c>
      <c r="O15" s="109">
        <v>120</v>
      </c>
      <c r="P15" s="146">
        <v>121</v>
      </c>
      <c r="Q15" s="79">
        <f t="shared" si="0"/>
        <v>1445.5</v>
      </c>
      <c r="R15" s="15" t="e">
        <f>+Q15/Q14</f>
        <v>#DIV/0!</v>
      </c>
      <c r="S15" s="105"/>
      <c r="T15" s="105"/>
    </row>
    <row r="16" spans="1:21" x14ac:dyDescent="0.25">
      <c r="A16" s="241" t="s">
        <v>161</v>
      </c>
      <c r="B16" s="228" t="s">
        <v>30</v>
      </c>
      <c r="C16" s="229"/>
      <c r="D16" s="76" t="s">
        <v>21</v>
      </c>
      <c r="E16" s="10">
        <v>30</v>
      </c>
      <c r="F16" s="10">
        <v>27</v>
      </c>
      <c r="G16" s="10">
        <v>30</v>
      </c>
      <c r="H16" s="10">
        <v>29</v>
      </c>
      <c r="I16" s="10">
        <v>30</v>
      </c>
      <c r="J16" s="108">
        <v>29</v>
      </c>
      <c r="K16" s="108">
        <v>29</v>
      </c>
      <c r="L16" s="8">
        <v>30</v>
      </c>
      <c r="M16" s="8">
        <v>29</v>
      </c>
      <c r="N16" s="8">
        <v>30</v>
      </c>
      <c r="O16" s="24">
        <f>29-1</f>
        <v>28</v>
      </c>
      <c r="P16" s="133">
        <f>30</f>
        <v>30</v>
      </c>
      <c r="Q16" s="21">
        <f t="shared" si="0"/>
        <v>351</v>
      </c>
      <c r="R16" s="15"/>
      <c r="S16" s="105">
        <v>350</v>
      </c>
      <c r="T16" s="130">
        <f>+Q16</f>
        <v>351</v>
      </c>
    </row>
    <row r="17" spans="1:25" x14ac:dyDescent="0.25">
      <c r="A17" s="242"/>
      <c r="B17" s="230"/>
      <c r="C17" s="231"/>
      <c r="D17" s="76" t="s">
        <v>20</v>
      </c>
      <c r="E17" s="10">
        <f>707+449</f>
        <v>1156</v>
      </c>
      <c r="F17" s="8">
        <f>662+448</f>
        <v>1110</v>
      </c>
      <c r="G17" s="8">
        <f>752+456</f>
        <v>1208</v>
      </c>
      <c r="H17" s="8">
        <f>726+455</f>
        <v>1181</v>
      </c>
      <c r="I17" s="8">
        <f>728+455</f>
        <v>1183</v>
      </c>
      <c r="J17" s="108">
        <f>718+456</f>
        <v>1174</v>
      </c>
      <c r="K17" s="108">
        <f>705+463</f>
        <v>1168</v>
      </c>
      <c r="L17" s="8">
        <f>722+464</f>
        <v>1186</v>
      </c>
      <c r="M17" s="8">
        <f>683+455</f>
        <v>1138</v>
      </c>
      <c r="N17" s="8">
        <f>729+456</f>
        <v>1185</v>
      </c>
      <c r="O17" s="24">
        <f>690-15+540</f>
        <v>1215</v>
      </c>
      <c r="P17" s="187">
        <f>745+540</f>
        <v>1285</v>
      </c>
      <c r="Q17" s="79">
        <f t="shared" si="0"/>
        <v>14189</v>
      </c>
      <c r="R17" s="15">
        <f>+Q17/Q16</f>
        <v>40.424501424501422</v>
      </c>
      <c r="S17" s="105"/>
      <c r="T17" s="105"/>
      <c r="V17" s="173" t="s">
        <v>193</v>
      </c>
      <c r="W17" s="117" t="s">
        <v>194</v>
      </c>
      <c r="X17" s="117" t="s">
        <v>191</v>
      </c>
      <c r="Y17" s="117" t="s">
        <v>192</v>
      </c>
    </row>
    <row r="18" spans="1:25" x14ac:dyDescent="0.25">
      <c r="A18" s="223" t="s">
        <v>160</v>
      </c>
      <c r="B18" s="228" t="s">
        <v>31</v>
      </c>
      <c r="C18" s="229"/>
      <c r="D18" s="76" t="s">
        <v>21</v>
      </c>
      <c r="E18" s="10">
        <v>245</v>
      </c>
      <c r="F18" s="108">
        <v>221</v>
      </c>
      <c r="G18" s="108">
        <v>245</v>
      </c>
      <c r="H18" s="108">
        <v>237</v>
      </c>
      <c r="I18" s="108">
        <v>245</v>
      </c>
      <c r="J18" s="108">
        <v>237</v>
      </c>
      <c r="K18" s="24">
        <v>13468</v>
      </c>
      <c r="L18" s="108">
        <v>245</v>
      </c>
      <c r="M18" s="108">
        <v>2052</v>
      </c>
      <c r="N18" s="108">
        <v>2120</v>
      </c>
      <c r="O18" s="108">
        <v>2052</v>
      </c>
      <c r="P18" s="187">
        <f>-4377</f>
        <v>-4377</v>
      </c>
      <c r="Q18" s="21">
        <f t="shared" si="0"/>
        <v>16990</v>
      </c>
      <c r="R18" s="96"/>
      <c r="S18" s="105">
        <v>24965</v>
      </c>
      <c r="T18" s="130">
        <f>+Q18</f>
        <v>16990</v>
      </c>
      <c r="U18" s="172">
        <f>11833+16396</f>
        <v>28229</v>
      </c>
      <c r="V18" s="171">
        <v>22297</v>
      </c>
      <c r="W18" s="171">
        <v>11833</v>
      </c>
      <c r="X18" s="171">
        <v>30896</v>
      </c>
      <c r="Y18" s="171">
        <v>16396</v>
      </c>
    </row>
    <row r="19" spans="1:25" x14ac:dyDescent="0.25">
      <c r="A19" s="223"/>
      <c r="B19" s="230"/>
      <c r="C19" s="231"/>
      <c r="D19" s="76" t="s">
        <v>20</v>
      </c>
      <c r="E19" s="10">
        <f>5780+3664</f>
        <v>9444</v>
      </c>
      <c r="F19" s="108">
        <f>5422+3317</f>
        <v>8739</v>
      </c>
      <c r="G19" s="108">
        <f>6147+3664</f>
        <v>9811</v>
      </c>
      <c r="H19" s="108">
        <f>5937+3550</f>
        <v>9487</v>
      </c>
      <c r="I19" s="108">
        <f>6152+3664</f>
        <v>9816</v>
      </c>
      <c r="J19" s="108">
        <f>5875+3550</f>
        <v>9425</v>
      </c>
      <c r="K19" s="24">
        <f>5951+182930</f>
        <v>188881</v>
      </c>
      <c r="L19" s="24">
        <f>367047+30787</f>
        <v>397834</v>
      </c>
      <c r="M19" s="108">
        <f>50069+29803</f>
        <v>79872</v>
      </c>
      <c r="N19" s="108">
        <f>51602+30787</f>
        <v>82389</v>
      </c>
      <c r="O19" s="108">
        <f>50479+29803</f>
        <v>80282</v>
      </c>
      <c r="P19" s="187">
        <f>52747+30787-135312-256011</f>
        <v>-307789</v>
      </c>
      <c r="Q19" s="79">
        <f t="shared" si="0"/>
        <v>578191</v>
      </c>
      <c r="R19" s="15">
        <f>+Q19/Q18</f>
        <v>34.031253678634492</v>
      </c>
      <c r="S19" s="105"/>
      <c r="T19" s="105"/>
      <c r="U19" s="172" t="s">
        <v>195</v>
      </c>
      <c r="V19" s="261">
        <f>+T18-U18</f>
        <v>-11239</v>
      </c>
      <c r="W19" s="261"/>
    </row>
    <row r="20" spans="1:25" x14ac:dyDescent="0.25">
      <c r="A20" s="223" t="s">
        <v>163</v>
      </c>
      <c r="B20" s="228" t="s">
        <v>32</v>
      </c>
      <c r="C20" s="229"/>
      <c r="D20" s="76" t="s">
        <v>21</v>
      </c>
      <c r="E20" s="10">
        <v>29</v>
      </c>
      <c r="F20" s="108">
        <v>26</v>
      </c>
      <c r="G20" s="108">
        <v>29</v>
      </c>
      <c r="H20" s="108">
        <v>28</v>
      </c>
      <c r="I20" s="108">
        <v>29</v>
      </c>
      <c r="J20" s="108">
        <v>28</v>
      </c>
      <c r="K20" s="108">
        <v>29</v>
      </c>
      <c r="L20" s="24">
        <v>-167</v>
      </c>
      <c r="M20" s="108">
        <v>4</v>
      </c>
      <c r="N20" s="108">
        <v>4</v>
      </c>
      <c r="O20" s="108">
        <v>4</v>
      </c>
      <c r="P20" s="187">
        <f>4+3</f>
        <v>7</v>
      </c>
      <c r="Q20" s="21">
        <f t="shared" si="0"/>
        <v>50</v>
      </c>
      <c r="R20" s="15"/>
      <c r="S20" s="105">
        <v>46</v>
      </c>
      <c r="T20" s="130">
        <f>+Q20</f>
        <v>50</v>
      </c>
      <c r="V20" s="105"/>
    </row>
    <row r="21" spans="1:25" x14ac:dyDescent="0.25">
      <c r="A21" s="223"/>
      <c r="B21" s="230"/>
      <c r="C21" s="231"/>
      <c r="D21" s="76" t="s">
        <v>20</v>
      </c>
      <c r="E21" s="10">
        <f>684+530</f>
        <v>1214</v>
      </c>
      <c r="F21" s="108">
        <f>637+518</f>
        <v>1155</v>
      </c>
      <c r="G21" s="108">
        <f>727+519</f>
        <v>1246</v>
      </c>
      <c r="H21" s="108">
        <f>702+533</f>
        <v>1235</v>
      </c>
      <c r="I21" s="108">
        <f>728+533</f>
        <v>1261</v>
      </c>
      <c r="J21" s="108">
        <v>695</v>
      </c>
      <c r="K21" s="24">
        <f>704-1828</f>
        <v>-1124</v>
      </c>
      <c r="L21" s="24">
        <f>-4125+178</f>
        <v>-3947</v>
      </c>
      <c r="M21" s="108">
        <f>97+178</f>
        <v>275</v>
      </c>
      <c r="N21" s="108">
        <f>97+179</f>
        <v>276</v>
      </c>
      <c r="O21" s="108">
        <f>98+178</f>
        <v>276</v>
      </c>
      <c r="P21" s="187">
        <f>99+178+337-30</f>
        <v>584</v>
      </c>
      <c r="Q21" s="79">
        <f t="shared" si="0"/>
        <v>3146</v>
      </c>
      <c r="R21" s="15">
        <f>+Q21/Q20</f>
        <v>62.92</v>
      </c>
      <c r="S21" s="105"/>
      <c r="T21" s="105"/>
      <c r="W21" s="105"/>
      <c r="X21" s="105"/>
    </row>
    <row r="22" spans="1:25" x14ac:dyDescent="0.25">
      <c r="A22" s="223" t="s">
        <v>150</v>
      </c>
      <c r="B22" s="228" t="s">
        <v>33</v>
      </c>
      <c r="C22" s="229"/>
      <c r="D22" s="76" t="s">
        <v>21</v>
      </c>
      <c r="E22" s="10">
        <v>277</v>
      </c>
      <c r="F22" s="108">
        <v>250</v>
      </c>
      <c r="G22" s="108">
        <v>277</v>
      </c>
      <c r="H22" s="108">
        <v>268</v>
      </c>
      <c r="I22" s="108">
        <v>277</v>
      </c>
      <c r="J22" s="108">
        <v>268</v>
      </c>
      <c r="K22" s="108">
        <v>277</v>
      </c>
      <c r="L22" s="24">
        <v>233</v>
      </c>
      <c r="M22" s="108">
        <f>263-53</f>
        <v>210</v>
      </c>
      <c r="N22" s="108">
        <v>271</v>
      </c>
      <c r="O22" s="108">
        <v>263</v>
      </c>
      <c r="P22" s="187">
        <f>271-233</f>
        <v>38</v>
      </c>
      <c r="Q22" s="21">
        <f t="shared" si="0"/>
        <v>2909</v>
      </c>
      <c r="R22" s="15"/>
      <c r="S22" s="105">
        <v>3196</v>
      </c>
      <c r="T22" s="130">
        <f>+Q22</f>
        <v>2909</v>
      </c>
    </row>
    <row r="23" spans="1:25" x14ac:dyDescent="0.25">
      <c r="A23" s="223"/>
      <c r="B23" s="230"/>
      <c r="C23" s="231"/>
      <c r="D23" s="76" t="s">
        <v>20</v>
      </c>
      <c r="E23" s="10">
        <f>6534+4128</f>
        <v>10662</v>
      </c>
      <c r="F23" s="108">
        <f>6134+3738</f>
        <v>9872</v>
      </c>
      <c r="G23" s="108">
        <f>6949+4128</f>
        <v>11077</v>
      </c>
      <c r="H23" s="108">
        <f>6713+3998</f>
        <v>10711</v>
      </c>
      <c r="I23" s="108">
        <f>6955+4128</f>
        <v>11083</v>
      </c>
      <c r="J23" s="108">
        <f>6644+3998</f>
        <v>10642</v>
      </c>
      <c r="K23" s="24">
        <f>6728+1847</f>
        <v>8575</v>
      </c>
      <c r="L23" s="24">
        <f>5612+4041</f>
        <v>9653</v>
      </c>
      <c r="M23" s="108">
        <f>6418+3925</f>
        <v>10343</v>
      </c>
      <c r="N23" s="108">
        <f>6597+4041</f>
        <v>10638</v>
      </c>
      <c r="O23" s="108">
        <f>6471+3925</f>
        <v>10396</v>
      </c>
      <c r="P23" s="187">
        <f>6743+4041-6988-7924</f>
        <v>-4128</v>
      </c>
      <c r="Q23" s="79">
        <f t="shared" si="0"/>
        <v>109524</v>
      </c>
      <c r="R23" s="15">
        <f>+Q23/Q22</f>
        <v>37.650051564111379</v>
      </c>
      <c r="S23" s="105"/>
      <c r="T23" s="105"/>
    </row>
    <row r="24" spans="1:25" x14ac:dyDescent="0.25">
      <c r="A24" s="223" t="s">
        <v>158</v>
      </c>
      <c r="B24" s="228" t="s">
        <v>34</v>
      </c>
      <c r="C24" s="229"/>
      <c r="D24" s="76" t="s">
        <v>21</v>
      </c>
      <c r="E24" s="13">
        <v>1594</v>
      </c>
      <c r="F24" s="106">
        <v>1440</v>
      </c>
      <c r="G24" s="106">
        <v>1594</v>
      </c>
      <c r="H24" s="106">
        <v>1542</v>
      </c>
      <c r="I24" s="106">
        <v>1594</v>
      </c>
      <c r="J24" s="108">
        <v>1542</v>
      </c>
      <c r="K24" s="106">
        <v>1594</v>
      </c>
      <c r="L24" s="23">
        <v>4574</v>
      </c>
      <c r="M24" s="106">
        <v>1910</v>
      </c>
      <c r="N24" s="106">
        <v>1974</v>
      </c>
      <c r="O24" s="106">
        <v>1910</v>
      </c>
      <c r="P24" s="189">
        <f>-561-79</f>
        <v>-640</v>
      </c>
      <c r="Q24" s="21">
        <f t="shared" si="0"/>
        <v>20628</v>
      </c>
      <c r="R24" s="15"/>
      <c r="S24" s="105">
        <v>18767</v>
      </c>
      <c r="T24" s="130">
        <f>+Q24</f>
        <v>20628</v>
      </c>
    </row>
    <row r="25" spans="1:25" x14ac:dyDescent="0.25">
      <c r="A25" s="223"/>
      <c r="B25" s="230"/>
      <c r="C25" s="231"/>
      <c r="D25" s="76" t="s">
        <v>20</v>
      </c>
      <c r="E25" s="10">
        <f>37604+23178</f>
        <v>60782</v>
      </c>
      <c r="F25" s="108">
        <f>35323+20950</f>
        <v>56273</v>
      </c>
      <c r="G25" s="108">
        <f>39995+23178</f>
        <v>63173</v>
      </c>
      <c r="H25" s="108">
        <f>38627+22426</f>
        <v>61053</v>
      </c>
      <c r="I25" s="108">
        <f>40027+23178</f>
        <v>63205</v>
      </c>
      <c r="J25" s="108">
        <f>38226+22426</f>
        <v>60652</v>
      </c>
      <c r="K25" s="24">
        <f>38720+86552</f>
        <v>125272</v>
      </c>
      <c r="L25" s="24">
        <f>111647+28675</f>
        <v>140322</v>
      </c>
      <c r="M25" s="108">
        <f>46605+27749</f>
        <v>74354</v>
      </c>
      <c r="N25" s="108">
        <f>48049+28675</f>
        <v>76724</v>
      </c>
      <c r="O25" s="108">
        <f>46987+27749</f>
        <v>74736</v>
      </c>
      <c r="P25" s="187">
        <f>-1938</f>
        <v>-1938</v>
      </c>
      <c r="Q25" s="79">
        <f t="shared" si="0"/>
        <v>854608</v>
      </c>
      <c r="R25" s="15">
        <f>+Q25/Q24</f>
        <v>41.429513282916425</v>
      </c>
      <c r="S25" s="105"/>
      <c r="T25" s="105"/>
    </row>
    <row r="26" spans="1:25" x14ac:dyDescent="0.25">
      <c r="A26" s="223" t="s">
        <v>144</v>
      </c>
      <c r="B26" s="228" t="s">
        <v>35</v>
      </c>
      <c r="C26" s="229"/>
      <c r="D26" s="76" t="s">
        <v>21</v>
      </c>
      <c r="E26" s="13">
        <v>443</v>
      </c>
      <c r="F26" s="108">
        <v>400</v>
      </c>
      <c r="G26" s="108">
        <v>443</v>
      </c>
      <c r="H26" s="108">
        <v>429</v>
      </c>
      <c r="I26" s="108">
        <v>443</v>
      </c>
      <c r="J26" s="108">
        <v>429</v>
      </c>
      <c r="K26" s="108">
        <v>443</v>
      </c>
      <c r="L26" s="24">
        <v>4008</v>
      </c>
      <c r="M26" s="108">
        <v>869</v>
      </c>
      <c r="N26" s="108">
        <v>898</v>
      </c>
      <c r="O26" s="108">
        <v>869</v>
      </c>
      <c r="P26" s="187">
        <f>898-37</f>
        <v>861</v>
      </c>
      <c r="Q26" s="21">
        <f t="shared" si="0"/>
        <v>10535</v>
      </c>
      <c r="R26" s="15"/>
      <c r="S26" s="105">
        <v>10573</v>
      </c>
      <c r="T26" s="130">
        <f>+Q26</f>
        <v>10535</v>
      </c>
    </row>
    <row r="27" spans="1:25" x14ac:dyDescent="0.25">
      <c r="A27" s="223"/>
      <c r="B27" s="230"/>
      <c r="C27" s="231"/>
      <c r="D27" s="76" t="s">
        <v>20</v>
      </c>
      <c r="E27" s="10">
        <f>10451+6528</f>
        <v>16979</v>
      </c>
      <c r="F27" s="108">
        <f>9812+5907</f>
        <v>15719</v>
      </c>
      <c r="G27" s="108">
        <f>11116+6528</f>
        <v>17644</v>
      </c>
      <c r="H27" s="108">
        <f>10746+6327</f>
        <v>17073</v>
      </c>
      <c r="I27" s="108">
        <f>11125+6528</f>
        <v>17653</v>
      </c>
      <c r="J27" s="108">
        <f>10634+6327</f>
        <v>16961</v>
      </c>
      <c r="K27" s="24">
        <f>10761+47621</f>
        <v>58382</v>
      </c>
      <c r="L27" s="24">
        <f>98276+13110</f>
        <v>111386</v>
      </c>
      <c r="M27" s="108">
        <f>21205+12691</f>
        <v>33896</v>
      </c>
      <c r="N27" s="108">
        <f>21858+13110</f>
        <v>34968</v>
      </c>
      <c r="O27" s="108">
        <f>21379+12691</f>
        <v>34070</v>
      </c>
      <c r="P27" s="187">
        <f>22343+13110+405-912</f>
        <v>34946</v>
      </c>
      <c r="Q27" s="79">
        <f t="shared" si="0"/>
        <v>409677</v>
      </c>
      <c r="R27" s="15">
        <f>+Q27/Q26</f>
        <v>38.887233032747986</v>
      </c>
      <c r="S27" s="105"/>
      <c r="T27" s="105"/>
    </row>
    <row r="28" spans="1:25" x14ac:dyDescent="0.25">
      <c r="A28" s="223" t="s">
        <v>147</v>
      </c>
      <c r="B28" s="228" t="s">
        <v>36</v>
      </c>
      <c r="C28" s="229"/>
      <c r="D28" s="76" t="s">
        <v>21</v>
      </c>
      <c r="E28" s="10">
        <v>24</v>
      </c>
      <c r="F28" s="108">
        <v>21</v>
      </c>
      <c r="G28" s="108">
        <v>24</v>
      </c>
      <c r="H28" s="108">
        <v>23</v>
      </c>
      <c r="I28" s="108">
        <v>24</v>
      </c>
      <c r="J28" s="108">
        <v>23</v>
      </c>
      <c r="K28" s="108">
        <v>24</v>
      </c>
      <c r="L28" s="108">
        <v>24</v>
      </c>
      <c r="M28" s="106">
        <v>23</v>
      </c>
      <c r="N28" s="23">
        <f>24+136</f>
        <v>160</v>
      </c>
      <c r="O28" s="106">
        <v>23</v>
      </c>
      <c r="P28" s="189">
        <f>24+1</f>
        <v>25</v>
      </c>
      <c r="Q28" s="21">
        <f t="shared" si="0"/>
        <v>418</v>
      </c>
      <c r="R28" s="15"/>
      <c r="S28" s="105">
        <v>279</v>
      </c>
      <c r="T28" s="130">
        <f>+Q28</f>
        <v>418</v>
      </c>
    </row>
    <row r="29" spans="1:25" x14ac:dyDescent="0.25">
      <c r="A29" s="223"/>
      <c r="B29" s="230"/>
      <c r="C29" s="231"/>
      <c r="D29" s="76" t="s">
        <v>20</v>
      </c>
      <c r="E29" s="10">
        <f>566+447</f>
        <v>1013</v>
      </c>
      <c r="F29" s="108">
        <f>516+439</f>
        <v>955</v>
      </c>
      <c r="G29" s="108">
        <f>602+439</f>
        <v>1041</v>
      </c>
      <c r="H29" s="108">
        <f>577+460</f>
        <v>1037</v>
      </c>
      <c r="I29" s="108">
        <f>602+460</f>
        <v>1062</v>
      </c>
      <c r="J29" s="108">
        <f>571+439</f>
        <v>1010</v>
      </c>
      <c r="K29" s="108">
        <f>582+439</f>
        <v>1021</v>
      </c>
      <c r="L29" s="108">
        <f>578+460</f>
        <v>1038</v>
      </c>
      <c r="M29" s="108">
        <f>562+460</f>
        <v>1022</v>
      </c>
      <c r="N29" s="24">
        <f>3916+460</f>
        <v>4376</v>
      </c>
      <c r="O29" s="108">
        <f>567+468</f>
        <v>1035</v>
      </c>
      <c r="P29" s="187">
        <f>597+498+151+34</f>
        <v>1280</v>
      </c>
      <c r="Q29" s="79">
        <f t="shared" si="0"/>
        <v>15890</v>
      </c>
      <c r="R29" s="15">
        <f>+Q29/Q28</f>
        <v>38.014354066985646</v>
      </c>
      <c r="S29" s="105"/>
      <c r="T29" s="105"/>
    </row>
    <row r="30" spans="1:25" x14ac:dyDescent="0.25">
      <c r="A30" s="223" t="s">
        <v>157</v>
      </c>
      <c r="B30" s="228" t="s">
        <v>37</v>
      </c>
      <c r="C30" s="229"/>
      <c r="D30" s="76" t="s">
        <v>21</v>
      </c>
      <c r="E30" s="10">
        <v>10</v>
      </c>
      <c r="F30" s="108">
        <v>9</v>
      </c>
      <c r="G30" s="108">
        <v>10</v>
      </c>
      <c r="H30" s="108">
        <v>9</v>
      </c>
      <c r="I30" s="108">
        <v>10</v>
      </c>
      <c r="J30" s="108">
        <v>9</v>
      </c>
      <c r="K30" s="108">
        <v>10</v>
      </c>
      <c r="L30" s="24">
        <v>223</v>
      </c>
      <c r="M30" s="108">
        <v>36</v>
      </c>
      <c r="N30" s="108">
        <v>37</v>
      </c>
      <c r="O30" s="108">
        <v>36</v>
      </c>
      <c r="P30" s="187">
        <f>37+37-2</f>
        <v>72</v>
      </c>
      <c r="Q30" s="21">
        <f t="shared" si="0"/>
        <v>471</v>
      </c>
      <c r="R30" s="15"/>
      <c r="S30" s="105">
        <v>435</v>
      </c>
      <c r="T30" s="130">
        <f>+Q30</f>
        <v>471</v>
      </c>
    </row>
    <row r="31" spans="1:25" x14ac:dyDescent="0.25">
      <c r="A31" s="223"/>
      <c r="B31" s="230"/>
      <c r="C31" s="231"/>
      <c r="D31" s="76" t="s">
        <v>20</v>
      </c>
      <c r="E31" s="10">
        <f>236+262</f>
        <v>498</v>
      </c>
      <c r="F31" s="108">
        <f>221+255</f>
        <v>476</v>
      </c>
      <c r="G31" s="108">
        <f>251+255</f>
        <v>506</v>
      </c>
      <c r="H31" s="108">
        <f>226+256</f>
        <v>482</v>
      </c>
      <c r="I31" s="108">
        <v>251</v>
      </c>
      <c r="J31" s="108">
        <v>224</v>
      </c>
      <c r="K31" s="24">
        <f>243+3082</f>
        <v>3325</v>
      </c>
      <c r="L31" s="24">
        <f>5460+657</f>
        <v>6117</v>
      </c>
      <c r="M31" s="108">
        <f>878+641</f>
        <v>1519</v>
      </c>
      <c r="N31" s="108">
        <f>900+657</f>
        <v>1557</v>
      </c>
      <c r="O31" s="108">
        <f>885+641</f>
        <v>1526</v>
      </c>
      <c r="P31" s="187">
        <f>920+657-52</f>
        <v>1525</v>
      </c>
      <c r="Q31" s="79">
        <f t="shared" si="0"/>
        <v>18006</v>
      </c>
      <c r="R31" s="15">
        <f>+Q31/Q30</f>
        <v>38.229299363057322</v>
      </c>
      <c r="S31" s="105"/>
      <c r="T31" s="105"/>
    </row>
    <row r="32" spans="1:25" x14ac:dyDescent="0.25">
      <c r="A32" s="223" t="s">
        <v>181</v>
      </c>
      <c r="B32" s="228" t="s">
        <v>38</v>
      </c>
      <c r="C32" s="229"/>
      <c r="D32" s="76" t="s">
        <v>21</v>
      </c>
      <c r="E32" s="10">
        <v>193</v>
      </c>
      <c r="F32" s="108">
        <v>175</v>
      </c>
      <c r="G32" s="108">
        <v>193</v>
      </c>
      <c r="H32" s="108">
        <v>187</v>
      </c>
      <c r="I32" s="108">
        <v>193</v>
      </c>
      <c r="J32" s="108">
        <v>187</v>
      </c>
      <c r="K32" s="108">
        <v>193</v>
      </c>
      <c r="L32" s="24">
        <f>201-316</f>
        <v>-115</v>
      </c>
      <c r="M32" s="108">
        <v>194</v>
      </c>
      <c r="N32" s="108">
        <v>201</v>
      </c>
      <c r="O32" s="108">
        <v>194</v>
      </c>
      <c r="P32" s="196">
        <f>201+217</f>
        <v>418</v>
      </c>
      <c r="Q32" s="21">
        <f t="shared" si="0"/>
        <v>2213</v>
      </c>
      <c r="R32" s="15"/>
      <c r="S32" s="105">
        <v>2361</v>
      </c>
      <c r="T32" s="130">
        <f>+Q32</f>
        <v>2213</v>
      </c>
    </row>
    <row r="33" spans="1:20" x14ac:dyDescent="0.25">
      <c r="A33" s="223"/>
      <c r="B33" s="230"/>
      <c r="C33" s="231"/>
      <c r="D33" s="76" t="s">
        <v>20</v>
      </c>
      <c r="E33" s="10">
        <f>4553+2913</f>
        <v>7466</v>
      </c>
      <c r="F33" s="108">
        <f>4293+2652</f>
        <v>6945</v>
      </c>
      <c r="G33" s="108">
        <f>4842+2913</f>
        <v>7755</v>
      </c>
      <c r="H33" s="108">
        <f>4684+2826</f>
        <v>7510</v>
      </c>
      <c r="I33" s="108">
        <f>4846+2913</f>
        <v>7759</v>
      </c>
      <c r="J33" s="108">
        <f>4635+2826</f>
        <v>7461</v>
      </c>
      <c r="K33" s="24">
        <f>4688+2241</f>
        <v>6929</v>
      </c>
      <c r="L33" s="24">
        <f>6084-9025+3028</f>
        <v>87</v>
      </c>
      <c r="M33" s="108">
        <f>4734+2927</f>
        <v>7661</v>
      </c>
      <c r="N33" s="108">
        <f>4892+3028</f>
        <v>7920</v>
      </c>
      <c r="O33" s="108">
        <f>4773+2927</f>
        <v>7700</v>
      </c>
      <c r="P33" s="196">
        <f>5000+3028+231+40</f>
        <v>8299</v>
      </c>
      <c r="Q33" s="79">
        <f t="shared" si="0"/>
        <v>83492</v>
      </c>
      <c r="R33" s="15">
        <f>+Q33/Q32</f>
        <v>37.727971079981927</v>
      </c>
      <c r="S33" s="105"/>
      <c r="T33" s="105"/>
    </row>
    <row r="34" spans="1:20" x14ac:dyDescent="0.25">
      <c r="A34" s="223" t="s">
        <v>65</v>
      </c>
      <c r="B34" s="243" t="s">
        <v>39</v>
      </c>
      <c r="C34" s="238"/>
      <c r="D34" s="76" t="s">
        <v>21</v>
      </c>
      <c r="E34" s="13"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6">
        <v>0</v>
      </c>
      <c r="N34" s="106">
        <v>0</v>
      </c>
      <c r="O34" s="106">
        <v>0</v>
      </c>
      <c r="P34" s="23">
        <v>0</v>
      </c>
      <c r="Q34" s="21">
        <f t="shared" si="0"/>
        <v>0</v>
      </c>
      <c r="R34" s="15"/>
      <c r="S34" s="105">
        <v>0</v>
      </c>
      <c r="T34" s="130">
        <f>+Q34</f>
        <v>0</v>
      </c>
    </row>
    <row r="35" spans="1:20" x14ac:dyDescent="0.25">
      <c r="A35" s="223"/>
      <c r="B35" s="239"/>
      <c r="C35" s="240"/>
      <c r="D35" s="76" t="s">
        <v>20</v>
      </c>
      <c r="E35" s="92">
        <v>120.5</v>
      </c>
      <c r="F35" s="109">
        <v>120.5</v>
      </c>
      <c r="G35" s="109">
        <v>120.5</v>
      </c>
      <c r="H35" s="109">
        <v>120.5</v>
      </c>
      <c r="I35" s="109">
        <v>120.5</v>
      </c>
      <c r="J35" s="109">
        <v>120</v>
      </c>
      <c r="K35" s="109">
        <v>120</v>
      </c>
      <c r="L35" s="109">
        <v>121</v>
      </c>
      <c r="M35" s="109">
        <v>120</v>
      </c>
      <c r="N35" s="109">
        <v>121</v>
      </c>
      <c r="O35" s="109">
        <v>120</v>
      </c>
      <c r="P35" s="146">
        <v>121</v>
      </c>
      <c r="Q35" s="79">
        <f t="shared" si="0"/>
        <v>1445.5</v>
      </c>
      <c r="R35" s="15" t="e">
        <f>+Q35/Q34</f>
        <v>#DIV/0!</v>
      </c>
      <c r="S35" s="105"/>
      <c r="T35" s="105"/>
    </row>
    <row r="36" spans="1:20" x14ac:dyDescent="0.25">
      <c r="A36" s="244" t="s">
        <v>159</v>
      </c>
      <c r="B36" s="228" t="s">
        <v>40</v>
      </c>
      <c r="C36" s="229"/>
      <c r="D36" s="76" t="s">
        <v>21</v>
      </c>
      <c r="E36" s="13">
        <v>170</v>
      </c>
      <c r="F36" s="106">
        <v>153</v>
      </c>
      <c r="G36" s="106">
        <v>170</v>
      </c>
      <c r="H36" s="108">
        <v>164</v>
      </c>
      <c r="I36" s="108">
        <v>170</v>
      </c>
      <c r="J36" s="108">
        <v>164</v>
      </c>
      <c r="K36" s="106">
        <v>170</v>
      </c>
      <c r="L36" s="24">
        <f>-978+8677</f>
        <v>7699</v>
      </c>
      <c r="M36" s="108">
        <v>164</v>
      </c>
      <c r="N36" s="108">
        <v>170</v>
      </c>
      <c r="O36" s="108">
        <v>164</v>
      </c>
      <c r="P36" s="187">
        <f>170+269</f>
        <v>439</v>
      </c>
      <c r="Q36" s="21">
        <f t="shared" si="0"/>
        <v>9797</v>
      </c>
      <c r="R36" s="15"/>
      <c r="S36" s="105">
        <v>2000</v>
      </c>
      <c r="T36" s="130">
        <f>+Q36</f>
        <v>9797</v>
      </c>
    </row>
    <row r="37" spans="1:20" x14ac:dyDescent="0.25">
      <c r="A37" s="244"/>
      <c r="B37" s="230"/>
      <c r="C37" s="231"/>
      <c r="D37" s="76" t="s">
        <v>20</v>
      </c>
      <c r="E37" s="13">
        <f>4011+2580</f>
        <v>6591</v>
      </c>
      <c r="F37" s="106">
        <f>3754+2335</f>
        <v>6089</v>
      </c>
      <c r="G37" s="106">
        <f>4266+2580</f>
        <v>6846</v>
      </c>
      <c r="H37" s="108">
        <f>4109+2494</f>
        <v>6603</v>
      </c>
      <c r="I37" s="108">
        <f>4270+2580</f>
        <v>6850</v>
      </c>
      <c r="J37" s="108">
        <f>4066+2494</f>
        <v>6560</v>
      </c>
      <c r="K37" s="24">
        <f>4130-14371</f>
        <v>-10241</v>
      </c>
      <c r="L37" s="24">
        <f>-24175+2580+125951+209495</f>
        <v>313851</v>
      </c>
      <c r="M37" s="108">
        <v>4002</v>
      </c>
      <c r="N37" s="108">
        <f>4138+2812</f>
        <v>6950</v>
      </c>
      <c r="O37" s="108">
        <f>4035+2175</f>
        <v>6210</v>
      </c>
      <c r="P37" s="187">
        <f>4231+2808+6240+7167</f>
        <v>20446</v>
      </c>
      <c r="Q37" s="79">
        <f t="shared" si="0"/>
        <v>380757</v>
      </c>
      <c r="R37" s="96">
        <f>+Q37/Q36</f>
        <v>38.864652444625904</v>
      </c>
      <c r="S37" s="105"/>
      <c r="T37" s="105"/>
    </row>
    <row r="38" spans="1:20" x14ac:dyDescent="0.25">
      <c r="A38" s="223" t="s">
        <v>156</v>
      </c>
      <c r="B38" s="228" t="s">
        <v>41</v>
      </c>
      <c r="C38" s="229"/>
      <c r="D38" s="76" t="s">
        <v>21</v>
      </c>
      <c r="E38" s="13">
        <v>90</v>
      </c>
      <c r="F38" s="106">
        <v>81</v>
      </c>
      <c r="G38" s="106">
        <v>90</v>
      </c>
      <c r="H38" s="106">
        <v>87</v>
      </c>
      <c r="I38" s="106">
        <v>90</v>
      </c>
      <c r="J38" s="106">
        <v>87</v>
      </c>
      <c r="K38" s="106">
        <v>90</v>
      </c>
      <c r="L38" s="23">
        <v>-133</v>
      </c>
      <c r="M38" s="106">
        <v>60</v>
      </c>
      <c r="N38" s="106">
        <v>61</v>
      </c>
      <c r="O38" s="106">
        <v>60</v>
      </c>
      <c r="P38" s="189">
        <f>61+196-2</f>
        <v>255</v>
      </c>
      <c r="Q38" s="21">
        <f t="shared" si="0"/>
        <v>918</v>
      </c>
      <c r="R38" s="15"/>
      <c r="S38" s="105">
        <v>1055</v>
      </c>
      <c r="T38" s="130">
        <f>+Q38</f>
        <v>918</v>
      </c>
    </row>
    <row r="39" spans="1:20" x14ac:dyDescent="0.25">
      <c r="A39" s="223"/>
      <c r="B39" s="230"/>
      <c r="C39" s="231"/>
      <c r="D39" s="76" t="s">
        <v>20</v>
      </c>
      <c r="E39" s="10">
        <f>2123+1424</f>
        <v>3547</v>
      </c>
      <c r="F39" s="106">
        <f>1987+1291</f>
        <v>3278</v>
      </c>
      <c r="G39" s="106">
        <f>2258+1424</f>
        <v>3682</v>
      </c>
      <c r="H39" s="106">
        <f>2179+1380</f>
        <v>3559</v>
      </c>
      <c r="I39" s="106">
        <f>2260+1424</f>
        <v>3684</v>
      </c>
      <c r="J39" s="108">
        <f>2156+1380</f>
        <v>3536</v>
      </c>
      <c r="K39" s="24">
        <f>2186-1928</f>
        <v>258</v>
      </c>
      <c r="L39" s="24">
        <f>-3319+1003</f>
        <v>-2316</v>
      </c>
      <c r="M39" s="108">
        <f>1465+989</f>
        <v>2454</v>
      </c>
      <c r="N39" s="106">
        <f>1484+1003</f>
        <v>2487</v>
      </c>
      <c r="O39" s="106">
        <f>1477+989</f>
        <v>2466</v>
      </c>
      <c r="P39" s="187">
        <f>1517+1003+31-50</f>
        <v>2501</v>
      </c>
      <c r="Q39" s="79">
        <f t="shared" si="0"/>
        <v>29136</v>
      </c>
      <c r="R39" s="15">
        <f>+Q39/Q38</f>
        <v>31.738562091503269</v>
      </c>
      <c r="S39" s="105"/>
      <c r="T39" s="105"/>
    </row>
    <row r="40" spans="1:20" x14ac:dyDescent="0.25">
      <c r="A40" s="223" t="s">
        <v>155</v>
      </c>
      <c r="B40" s="228" t="s">
        <v>42</v>
      </c>
      <c r="C40" s="229"/>
      <c r="D40" s="76" t="s">
        <v>21</v>
      </c>
      <c r="E40" s="9">
        <v>182</v>
      </c>
      <c r="F40" s="106">
        <v>165</v>
      </c>
      <c r="G40" s="106">
        <v>182</v>
      </c>
      <c r="H40" s="106">
        <v>176</v>
      </c>
      <c r="I40" s="106">
        <v>182</v>
      </c>
      <c r="J40" s="106">
        <v>176</v>
      </c>
      <c r="K40" s="106">
        <v>182</v>
      </c>
      <c r="L40" s="23">
        <f>-98</f>
        <v>-98</v>
      </c>
      <c r="M40" s="106">
        <v>142</v>
      </c>
      <c r="N40" s="106">
        <v>146</v>
      </c>
      <c r="O40" s="106">
        <v>142</v>
      </c>
      <c r="P40" s="189">
        <f>146+249-5</f>
        <v>390</v>
      </c>
      <c r="Q40" s="21">
        <f t="shared" si="0"/>
        <v>1967</v>
      </c>
      <c r="R40" s="15"/>
      <c r="S40" s="105">
        <v>1724</v>
      </c>
      <c r="T40" s="130">
        <f>+Q40</f>
        <v>1967</v>
      </c>
    </row>
    <row r="41" spans="1:20" x14ac:dyDescent="0.25">
      <c r="A41" s="223"/>
      <c r="B41" s="230"/>
      <c r="C41" s="231"/>
      <c r="D41" s="76" t="s">
        <v>20</v>
      </c>
      <c r="E41" s="13">
        <f>4294+2753</f>
        <v>7047</v>
      </c>
      <c r="F41" s="106">
        <f>4047+2508</f>
        <v>6555</v>
      </c>
      <c r="G41" s="108">
        <f>4567+2753</f>
        <v>7320</v>
      </c>
      <c r="H41" s="108">
        <f>4409+2666</f>
        <v>7075</v>
      </c>
      <c r="I41" s="108">
        <f>4570+2753</f>
        <v>7323</v>
      </c>
      <c r="J41" s="108">
        <f>4364+2666</f>
        <v>7030</v>
      </c>
      <c r="K41" s="24">
        <f>4421-1841</f>
        <v>2580</v>
      </c>
      <c r="L41" s="24">
        <f>-2482+2232</f>
        <v>-250</v>
      </c>
      <c r="M41" s="108">
        <f>3464+2175</f>
        <v>5639</v>
      </c>
      <c r="N41" s="108">
        <f>3553+2232</f>
        <v>5785</v>
      </c>
      <c r="O41" s="108">
        <f>3492+2175</f>
        <v>5667</v>
      </c>
      <c r="P41" s="187">
        <f>3632+2232+2306-123</f>
        <v>8047</v>
      </c>
      <c r="Q41" s="79">
        <f t="shared" si="0"/>
        <v>69818</v>
      </c>
      <c r="R41" s="15">
        <f>+Q41/Q40</f>
        <v>35.494661921708186</v>
      </c>
      <c r="S41" s="105"/>
      <c r="T41" s="105"/>
    </row>
    <row r="42" spans="1:20" x14ac:dyDescent="0.25">
      <c r="A42" s="223" t="s">
        <v>66</v>
      </c>
      <c r="B42" s="228" t="s">
        <v>43</v>
      </c>
      <c r="C42" s="229"/>
      <c r="D42" s="76" t="s">
        <v>21</v>
      </c>
      <c r="E42" s="13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23">
        <v>0</v>
      </c>
      <c r="M42" s="106">
        <v>0</v>
      </c>
      <c r="N42" s="106">
        <v>0</v>
      </c>
      <c r="O42" s="106">
        <v>0</v>
      </c>
      <c r="P42" s="23">
        <v>0</v>
      </c>
      <c r="Q42" s="21">
        <f t="shared" si="0"/>
        <v>0</v>
      </c>
      <c r="R42" s="15"/>
      <c r="S42" s="105">
        <v>0</v>
      </c>
      <c r="T42" s="105">
        <v>0</v>
      </c>
    </row>
    <row r="43" spans="1:20" x14ac:dyDescent="0.25">
      <c r="A43" s="223"/>
      <c r="B43" s="230"/>
      <c r="C43" s="231"/>
      <c r="D43" s="76" t="s">
        <v>20</v>
      </c>
      <c r="E43" s="94">
        <v>121</v>
      </c>
      <c r="F43" s="110">
        <v>120</v>
      </c>
      <c r="G43" s="110">
        <v>121</v>
      </c>
      <c r="H43" s="110">
        <v>120</v>
      </c>
      <c r="I43" s="110">
        <v>121</v>
      </c>
      <c r="J43" s="110">
        <v>0</v>
      </c>
      <c r="K43" s="110">
        <v>240</v>
      </c>
      <c r="L43" s="129">
        <v>121</v>
      </c>
      <c r="M43" s="110">
        <v>120</v>
      </c>
      <c r="N43" s="110">
        <v>121</v>
      </c>
      <c r="O43" s="110">
        <v>120</v>
      </c>
      <c r="P43" s="152">
        <v>121</v>
      </c>
      <c r="Q43" s="79">
        <f t="shared" si="0"/>
        <v>1446</v>
      </c>
      <c r="R43" s="15" t="e">
        <f t="shared" ref="R43" si="1">+Q43/Q42</f>
        <v>#DIV/0!</v>
      </c>
      <c r="S43" s="105"/>
      <c r="T43" s="105"/>
    </row>
    <row r="44" spans="1:20" x14ac:dyDescent="0.25">
      <c r="A44" s="223" t="s">
        <v>67</v>
      </c>
      <c r="B44" s="228" t="s">
        <v>44</v>
      </c>
      <c r="C44" s="229"/>
      <c r="D44" s="76" t="s">
        <v>21</v>
      </c>
      <c r="E44" s="13">
        <v>92</v>
      </c>
      <c r="F44" s="106">
        <v>83</v>
      </c>
      <c r="G44" s="106">
        <v>92</v>
      </c>
      <c r="H44" s="106">
        <v>89</v>
      </c>
      <c r="I44" s="106">
        <v>92</v>
      </c>
      <c r="J44" s="106">
        <v>89</v>
      </c>
      <c r="K44" s="106">
        <v>92</v>
      </c>
      <c r="L44" s="23">
        <v>3489</v>
      </c>
      <c r="M44" s="106">
        <v>508</v>
      </c>
      <c r="N44" s="106">
        <v>525</v>
      </c>
      <c r="O44" s="106">
        <v>508</v>
      </c>
      <c r="P44" s="189">
        <v>525</v>
      </c>
      <c r="Q44" s="21">
        <f t="shared" si="0"/>
        <v>6184</v>
      </c>
      <c r="R44" s="15"/>
      <c r="S44" s="105">
        <v>6179</v>
      </c>
      <c r="T44" s="130">
        <f>+Q44</f>
        <v>6184</v>
      </c>
    </row>
    <row r="45" spans="1:20" ht="15.75" customHeight="1" x14ac:dyDescent="0.25">
      <c r="A45" s="223"/>
      <c r="B45" s="230"/>
      <c r="C45" s="231"/>
      <c r="D45" s="76" t="s">
        <v>20</v>
      </c>
      <c r="E45" s="10">
        <f>2170+1452</f>
        <v>3622</v>
      </c>
      <c r="F45" s="106">
        <f>2037+1321</f>
        <v>3358</v>
      </c>
      <c r="G45" s="106">
        <f>2308+1452</f>
        <v>3760</v>
      </c>
      <c r="H45" s="106">
        <f>2230+1409</f>
        <v>3639</v>
      </c>
      <c r="I45" s="106">
        <f>2310+1452</f>
        <v>3762</v>
      </c>
      <c r="J45" s="108">
        <f>2207+1409</f>
        <v>3616</v>
      </c>
      <c r="K45" s="108">
        <f>2235+42575</f>
        <v>44810</v>
      </c>
      <c r="L45" s="24">
        <f>85578+7715</f>
        <v>93293</v>
      </c>
      <c r="M45" s="108">
        <f>12396+7469</f>
        <v>19865</v>
      </c>
      <c r="N45" s="106">
        <f>12779+7715</f>
        <v>20494</v>
      </c>
      <c r="O45" s="106">
        <f>12498+7469</f>
        <v>19967</v>
      </c>
      <c r="P45" s="187">
        <f>13062+7715+230-538</f>
        <v>20469</v>
      </c>
      <c r="Q45" s="79">
        <f t="shared" si="0"/>
        <v>240655</v>
      </c>
      <c r="R45" s="15">
        <f>+Q45/Q44</f>
        <v>38.915750323415267</v>
      </c>
      <c r="S45" s="105"/>
      <c r="T45" s="105"/>
    </row>
    <row r="46" spans="1:20" x14ac:dyDescent="0.25">
      <c r="A46" s="223" t="s">
        <v>169</v>
      </c>
      <c r="B46" s="228" t="s">
        <v>45</v>
      </c>
      <c r="C46" s="229"/>
      <c r="D46" s="76" t="s">
        <v>21</v>
      </c>
      <c r="E46" s="13">
        <v>735</v>
      </c>
      <c r="F46" s="106">
        <v>664</v>
      </c>
      <c r="G46" s="106">
        <v>735</v>
      </c>
      <c r="H46" s="106">
        <v>711</v>
      </c>
      <c r="I46" s="106">
        <v>735</v>
      </c>
      <c r="J46" s="106">
        <v>711</v>
      </c>
      <c r="K46" s="106">
        <v>735</v>
      </c>
      <c r="L46" s="23">
        <v>628</v>
      </c>
      <c r="M46" s="106">
        <v>698</v>
      </c>
      <c r="N46" s="106">
        <v>721</v>
      </c>
      <c r="O46" s="106">
        <v>698</v>
      </c>
      <c r="P46" s="189">
        <f>721+117-52</f>
        <v>786</v>
      </c>
      <c r="Q46" s="21">
        <f t="shared" si="0"/>
        <v>8557</v>
      </c>
      <c r="R46" s="15"/>
      <c r="S46" s="105">
        <v>8493</v>
      </c>
      <c r="T46" s="130">
        <f>+Q46</f>
        <v>8557</v>
      </c>
    </row>
    <row r="47" spans="1:20" x14ac:dyDescent="0.25">
      <c r="A47" s="223"/>
      <c r="B47" s="230"/>
      <c r="C47" s="231"/>
      <c r="D47" s="76" t="s">
        <v>20</v>
      </c>
      <c r="E47" s="13">
        <f>17339+10753</f>
        <v>28092</v>
      </c>
      <c r="F47" s="106">
        <f>16288+9726</f>
        <v>26014</v>
      </c>
      <c r="G47" s="106">
        <f>18441+10753</f>
        <v>29194</v>
      </c>
      <c r="H47" s="106">
        <f>17811+10405</f>
        <v>28216</v>
      </c>
      <c r="I47" s="106">
        <f>18456+10753</f>
        <v>29209</v>
      </c>
      <c r="J47" s="106">
        <f>17626+10405</f>
        <v>28031</v>
      </c>
      <c r="K47" s="23">
        <f>17853+4894</f>
        <v>22747</v>
      </c>
      <c r="L47" s="23">
        <f>15092+10550</f>
        <v>25642</v>
      </c>
      <c r="M47" s="106">
        <f>17032+10217</f>
        <v>27249</v>
      </c>
      <c r="N47" s="106">
        <f>17550+10550</f>
        <v>28100</v>
      </c>
      <c r="O47" s="106">
        <f>17172+10217</f>
        <v>27389</v>
      </c>
      <c r="P47" s="189">
        <f>17939+10550+347-691</f>
        <v>28145</v>
      </c>
      <c r="Q47" s="79">
        <f t="shared" si="0"/>
        <v>328028</v>
      </c>
      <c r="R47" s="15">
        <f>+Q47/Q46</f>
        <v>38.334463012738112</v>
      </c>
      <c r="S47" s="105"/>
      <c r="T47" s="105"/>
    </row>
    <row r="48" spans="1:20" x14ac:dyDescent="0.25">
      <c r="A48" s="223" t="s">
        <v>168</v>
      </c>
      <c r="B48" s="228" t="s">
        <v>46</v>
      </c>
      <c r="C48" s="229"/>
      <c r="D48" s="76" t="s">
        <v>21</v>
      </c>
      <c r="E48" s="9">
        <v>180</v>
      </c>
      <c r="F48" s="106">
        <v>162</v>
      </c>
      <c r="G48" s="106">
        <v>180</v>
      </c>
      <c r="H48" s="106">
        <v>174</v>
      </c>
      <c r="I48" s="106">
        <v>180</v>
      </c>
      <c r="J48" s="106">
        <v>174</v>
      </c>
      <c r="K48" s="157">
        <v>180</v>
      </c>
      <c r="L48" s="23">
        <v>489</v>
      </c>
      <c r="M48" s="106">
        <v>212</v>
      </c>
      <c r="N48" s="106">
        <v>219</v>
      </c>
      <c r="O48" s="106">
        <v>212</v>
      </c>
      <c r="P48" s="189">
        <v>219</v>
      </c>
      <c r="Q48" s="21">
        <f>SUM(E48:P48)</f>
        <v>2581</v>
      </c>
      <c r="R48" s="15"/>
      <c r="S48" s="105">
        <v>2582</v>
      </c>
      <c r="T48" s="130">
        <f>+Q48</f>
        <v>2581</v>
      </c>
    </row>
    <row r="49" spans="1:20" x14ac:dyDescent="0.25">
      <c r="A49" s="223"/>
      <c r="B49" s="230"/>
      <c r="C49" s="231"/>
      <c r="D49" s="76" t="s">
        <v>20</v>
      </c>
      <c r="E49" s="13">
        <f>4246+2724</f>
        <v>6970</v>
      </c>
      <c r="F49" s="106">
        <f>3973+2465</f>
        <v>6438</v>
      </c>
      <c r="G49" s="106">
        <f>4516+2724</f>
        <v>7240</v>
      </c>
      <c r="H49" s="106">
        <f>4359+2638</f>
        <v>6997</v>
      </c>
      <c r="I49" s="106">
        <f>4520+2724</f>
        <v>7244</v>
      </c>
      <c r="J49" s="106">
        <f>4314+2638</f>
        <v>6952</v>
      </c>
      <c r="K49" s="117">
        <f>4372+5371</f>
        <v>9743</v>
      </c>
      <c r="L49" s="23">
        <f>11927+3290</f>
        <v>15217</v>
      </c>
      <c r="M49" s="106">
        <f>5173+3187</f>
        <v>8360</v>
      </c>
      <c r="N49" s="106">
        <f>5331+3290</f>
        <v>8621</v>
      </c>
      <c r="O49" s="106">
        <f>5215+3187</f>
        <v>8402</v>
      </c>
      <c r="P49" s="189">
        <f>5449+3290+111-203</f>
        <v>8647</v>
      </c>
      <c r="Q49" s="79">
        <f>SUM(E49:P49)</f>
        <v>100831</v>
      </c>
      <c r="R49" s="15">
        <f>+Q49/Q48</f>
        <v>39.066640836884929</v>
      </c>
      <c r="S49" s="105"/>
      <c r="T49" s="105"/>
    </row>
    <row r="50" spans="1:20" x14ac:dyDescent="0.25">
      <c r="A50" s="223" t="s">
        <v>68</v>
      </c>
      <c r="B50" s="228" t="s">
        <v>47</v>
      </c>
      <c r="C50" s="229"/>
      <c r="D50" s="76" t="s">
        <v>21</v>
      </c>
      <c r="E50" s="10">
        <v>68</v>
      </c>
      <c r="F50" s="108">
        <v>62</v>
      </c>
      <c r="G50" s="108">
        <v>68</v>
      </c>
      <c r="H50" s="108">
        <v>66</v>
      </c>
      <c r="I50" s="108">
        <v>68</v>
      </c>
      <c r="J50" s="108">
        <v>66</v>
      </c>
      <c r="K50" s="108">
        <v>68</v>
      </c>
      <c r="L50" s="24">
        <v>-360</v>
      </c>
      <c r="M50" s="108">
        <v>13</v>
      </c>
      <c r="N50" s="108">
        <v>14</v>
      </c>
      <c r="O50" s="108">
        <v>13</v>
      </c>
      <c r="P50" s="187">
        <f>14+12</f>
        <v>26</v>
      </c>
      <c r="Q50" s="21">
        <f t="shared" si="0"/>
        <v>172</v>
      </c>
      <c r="R50" s="15"/>
      <c r="S50" s="105">
        <v>159</v>
      </c>
      <c r="T50" s="130">
        <f>+Q50</f>
        <v>172</v>
      </c>
    </row>
    <row r="51" spans="1:20" x14ac:dyDescent="0.25">
      <c r="A51" s="223"/>
      <c r="B51" s="230"/>
      <c r="C51" s="231"/>
      <c r="D51" s="76" t="s">
        <v>20</v>
      </c>
      <c r="E51" s="10">
        <f>1604+1105</f>
        <v>2709</v>
      </c>
      <c r="F51" s="108">
        <f>1520+1018</f>
        <v>2538</v>
      </c>
      <c r="G51" s="108">
        <f>1706+1105</f>
        <v>2811</v>
      </c>
      <c r="H51" s="108">
        <f>1652+1076</f>
        <v>2728</v>
      </c>
      <c r="I51" s="108">
        <f>1707+1105</f>
        <v>2812</v>
      </c>
      <c r="J51" s="108">
        <f>1635+1076</f>
        <v>2711</v>
      </c>
      <c r="K51" s="24">
        <f>1652-4635</f>
        <v>-2983</v>
      </c>
      <c r="L51" s="24">
        <f>-8864+316</f>
        <v>-8548</v>
      </c>
      <c r="M51" s="108">
        <f>318+316</f>
        <v>634</v>
      </c>
      <c r="N51" s="108">
        <f>340+316</f>
        <v>656</v>
      </c>
      <c r="O51" s="108">
        <f>321+316</f>
        <v>637</v>
      </c>
      <c r="P51" s="187">
        <f>348+308-53</f>
        <v>603</v>
      </c>
      <c r="Q51" s="79">
        <f t="shared" si="0"/>
        <v>7308</v>
      </c>
      <c r="R51" s="15">
        <f>+Q51/Q50</f>
        <v>42.488372093023258</v>
      </c>
      <c r="S51" s="105"/>
      <c r="T51" s="105"/>
    </row>
    <row r="52" spans="1:20" x14ac:dyDescent="0.25">
      <c r="A52" s="223" t="s">
        <v>69</v>
      </c>
      <c r="B52" s="228" t="s">
        <v>48</v>
      </c>
      <c r="C52" s="229"/>
      <c r="D52" s="76" t="s">
        <v>21</v>
      </c>
      <c r="E52" s="13">
        <v>0</v>
      </c>
      <c r="F52" s="106">
        <v>0</v>
      </c>
      <c r="G52" s="106">
        <v>0</v>
      </c>
      <c r="H52" s="106">
        <v>0</v>
      </c>
      <c r="I52" s="106">
        <v>0</v>
      </c>
      <c r="J52" s="106">
        <v>0</v>
      </c>
      <c r="K52" s="106">
        <v>0</v>
      </c>
      <c r="L52" s="23">
        <v>0</v>
      </c>
      <c r="M52" s="106">
        <v>0</v>
      </c>
      <c r="N52" s="106">
        <v>0</v>
      </c>
      <c r="O52" s="106">
        <v>0</v>
      </c>
      <c r="P52" s="189">
        <v>0</v>
      </c>
      <c r="Q52" s="21">
        <f t="shared" si="0"/>
        <v>0</v>
      </c>
      <c r="R52" s="15"/>
      <c r="S52" s="105">
        <v>0</v>
      </c>
      <c r="T52" s="130">
        <f>+Q52</f>
        <v>0</v>
      </c>
    </row>
    <row r="53" spans="1:20" x14ac:dyDescent="0.25">
      <c r="A53" s="223"/>
      <c r="B53" s="230"/>
      <c r="C53" s="231"/>
      <c r="D53" s="76" t="s">
        <v>20</v>
      </c>
      <c r="E53" s="10">
        <v>120.5</v>
      </c>
      <c r="F53" s="108">
        <v>120.5</v>
      </c>
      <c r="G53" s="108">
        <v>120.5</v>
      </c>
      <c r="H53" s="108">
        <v>120.5</v>
      </c>
      <c r="I53" s="108">
        <v>120.5</v>
      </c>
      <c r="J53" s="106">
        <v>0</v>
      </c>
      <c r="K53" s="23">
        <v>240</v>
      </c>
      <c r="L53" s="23">
        <v>121</v>
      </c>
      <c r="M53" s="106">
        <v>120</v>
      </c>
      <c r="N53" s="108">
        <v>121</v>
      </c>
      <c r="O53" s="106">
        <v>120</v>
      </c>
      <c r="P53" s="135">
        <v>121</v>
      </c>
      <c r="Q53" s="79">
        <f t="shared" si="0"/>
        <v>1445.5</v>
      </c>
      <c r="R53" s="15" t="e">
        <f>+Q53/Q52</f>
        <v>#DIV/0!</v>
      </c>
      <c r="S53" s="105"/>
      <c r="T53" s="105"/>
    </row>
    <row r="54" spans="1:20" x14ac:dyDescent="0.25">
      <c r="A54" s="223" t="s">
        <v>177</v>
      </c>
      <c r="B54" s="228" t="s">
        <v>49</v>
      </c>
      <c r="C54" s="229"/>
      <c r="D54" s="76" t="s">
        <v>21</v>
      </c>
      <c r="E54" s="13">
        <v>925</v>
      </c>
      <c r="F54" s="106">
        <v>835</v>
      </c>
      <c r="G54" s="106">
        <v>925</v>
      </c>
      <c r="H54" s="106">
        <v>895</v>
      </c>
      <c r="I54" s="106">
        <v>925</v>
      </c>
      <c r="J54" s="106">
        <v>895</v>
      </c>
      <c r="K54" s="106">
        <v>925</v>
      </c>
      <c r="L54" s="23">
        <v>2730</v>
      </c>
      <c r="M54" s="106">
        <v>1118</v>
      </c>
      <c r="N54" s="106">
        <v>1155</v>
      </c>
      <c r="O54" s="106">
        <v>1118</v>
      </c>
      <c r="P54" s="189">
        <v>1155</v>
      </c>
      <c r="Q54" s="21">
        <f t="shared" si="0"/>
        <v>13601</v>
      </c>
      <c r="R54" s="15"/>
      <c r="S54" s="105">
        <v>13603</v>
      </c>
      <c r="T54" s="130">
        <f>+Q54</f>
        <v>13601</v>
      </c>
    </row>
    <row r="55" spans="1:20" x14ac:dyDescent="0.25">
      <c r="A55" s="223"/>
      <c r="B55" s="230"/>
      <c r="C55" s="231"/>
      <c r="D55" s="76" t="s">
        <v>20</v>
      </c>
      <c r="E55" s="10">
        <f>21821+13501</f>
        <v>35322</v>
      </c>
      <c r="F55" s="108">
        <f>20483+12199</f>
        <v>32682</v>
      </c>
      <c r="G55" s="108">
        <f>23208+13501</f>
        <v>36709</v>
      </c>
      <c r="H55" s="108">
        <f>22421+13068</f>
        <v>35489</v>
      </c>
      <c r="I55" s="108">
        <f>23227+13501</f>
        <v>36728</v>
      </c>
      <c r="J55" s="108">
        <f>22188+13068</f>
        <v>35256</v>
      </c>
      <c r="K55" s="24">
        <f>22468+30001</f>
        <v>52469</v>
      </c>
      <c r="L55" s="24">
        <f>66658+16829</f>
        <v>83487</v>
      </c>
      <c r="M55" s="108">
        <f>27280+16293</f>
        <v>43573</v>
      </c>
      <c r="N55" s="108">
        <f>28114+16829</f>
        <v>44943</v>
      </c>
      <c r="O55" s="108">
        <f>27504+16293</f>
        <v>43797</v>
      </c>
      <c r="P55" s="189">
        <f>28737+16829-58-1134</f>
        <v>44374</v>
      </c>
      <c r="Q55" s="79">
        <f t="shared" si="0"/>
        <v>524829</v>
      </c>
      <c r="R55" s="15">
        <f>+Q55/Q54</f>
        <v>38.587530328652306</v>
      </c>
      <c r="S55" s="105"/>
      <c r="T55" s="105"/>
    </row>
    <row r="56" spans="1:20" x14ac:dyDescent="0.25">
      <c r="A56" s="223" t="s">
        <v>149</v>
      </c>
      <c r="B56" s="228" t="s">
        <v>50</v>
      </c>
      <c r="C56" s="229"/>
      <c r="D56" s="76" t="s">
        <v>21</v>
      </c>
      <c r="E56" s="10">
        <v>20</v>
      </c>
      <c r="F56" s="108">
        <v>18</v>
      </c>
      <c r="G56" s="108">
        <v>20</v>
      </c>
      <c r="H56" s="108">
        <v>19</v>
      </c>
      <c r="I56" s="108">
        <v>20</v>
      </c>
      <c r="J56" s="108">
        <v>19</v>
      </c>
      <c r="K56" s="108">
        <v>20</v>
      </c>
      <c r="L56" s="24">
        <v>100</v>
      </c>
      <c r="M56" s="108">
        <v>29</v>
      </c>
      <c r="N56" s="108">
        <v>30</v>
      </c>
      <c r="O56" s="108">
        <v>29</v>
      </c>
      <c r="P56" s="187">
        <v>30</v>
      </c>
      <c r="Q56" s="21">
        <f t="shared" si="0"/>
        <v>354</v>
      </c>
      <c r="R56" s="15"/>
      <c r="S56" s="105">
        <v>355</v>
      </c>
      <c r="T56" s="130">
        <f>+Q56</f>
        <v>354</v>
      </c>
    </row>
    <row r="57" spans="1:20" x14ac:dyDescent="0.25">
      <c r="A57" s="223"/>
      <c r="B57" s="230"/>
      <c r="C57" s="231"/>
      <c r="D57" s="76" t="s">
        <v>20</v>
      </c>
      <c r="E57" s="10">
        <f>472+396</f>
        <v>868</v>
      </c>
      <c r="F57" s="108">
        <f>442+388</f>
        <v>830</v>
      </c>
      <c r="G57" s="108">
        <f>502+389</f>
        <v>891</v>
      </c>
      <c r="H57" s="108">
        <f>476+403</f>
        <v>879</v>
      </c>
      <c r="I57" s="108">
        <f>502+403</f>
        <v>905</v>
      </c>
      <c r="J57" s="108">
        <v>471</v>
      </c>
      <c r="K57" s="24">
        <f>486+1469</f>
        <v>1955</v>
      </c>
      <c r="L57" s="24">
        <v>2445</v>
      </c>
      <c r="M57" s="108">
        <f>707+1096</f>
        <v>1803</v>
      </c>
      <c r="N57" s="108">
        <f>729+548</f>
        <v>1277</v>
      </c>
      <c r="O57" s="108">
        <f>713+548</f>
        <v>1261</v>
      </c>
      <c r="P57" s="187">
        <f>745+556+25-13</f>
        <v>1313</v>
      </c>
      <c r="Q57" s="79">
        <f t="shared" si="0"/>
        <v>14898</v>
      </c>
      <c r="R57" s="15">
        <f>+Q57/Q56</f>
        <v>42.084745762711862</v>
      </c>
      <c r="S57" s="105"/>
      <c r="T57" s="105"/>
    </row>
    <row r="58" spans="1:20" x14ac:dyDescent="0.25">
      <c r="A58" s="223" t="s">
        <v>70</v>
      </c>
      <c r="B58" s="228" t="s">
        <v>51</v>
      </c>
      <c r="C58" s="229"/>
      <c r="D58" s="76" t="s">
        <v>21</v>
      </c>
      <c r="E58" s="13">
        <v>152</v>
      </c>
      <c r="F58" s="9">
        <v>137</v>
      </c>
      <c r="G58" s="9">
        <v>152</v>
      </c>
      <c r="H58" s="9">
        <v>147</v>
      </c>
      <c r="I58" s="9">
        <v>152</v>
      </c>
      <c r="J58" s="106">
        <v>147</v>
      </c>
      <c r="K58" s="106">
        <v>152</v>
      </c>
      <c r="L58" s="23">
        <v>73</v>
      </c>
      <c r="M58" s="9">
        <v>137</v>
      </c>
      <c r="N58" s="9">
        <v>141</v>
      </c>
      <c r="O58" s="9">
        <v>137</v>
      </c>
      <c r="P58" s="18">
        <v>141</v>
      </c>
      <c r="Q58" s="21">
        <f t="shared" si="0"/>
        <v>1668</v>
      </c>
      <c r="R58" s="15"/>
      <c r="S58" s="105">
        <v>1662</v>
      </c>
      <c r="T58" s="105">
        <f>+Q58</f>
        <v>1668</v>
      </c>
    </row>
    <row r="59" spans="1:20" x14ac:dyDescent="0.25">
      <c r="A59" s="223"/>
      <c r="B59" s="230"/>
      <c r="C59" s="231"/>
      <c r="D59" s="76" t="s">
        <v>20</v>
      </c>
      <c r="E59" s="112">
        <v>3585</v>
      </c>
      <c r="F59" s="112">
        <v>3361</v>
      </c>
      <c r="G59" s="112">
        <v>3813</v>
      </c>
      <c r="H59" s="112">
        <v>3683</v>
      </c>
      <c r="I59" s="112">
        <v>3816</v>
      </c>
      <c r="J59" s="162">
        <v>3644</v>
      </c>
      <c r="K59" s="162">
        <v>3691</v>
      </c>
      <c r="L59" s="169">
        <v>1718</v>
      </c>
      <c r="M59" s="178">
        <v>3343</v>
      </c>
      <c r="N59" s="178">
        <v>3432</v>
      </c>
      <c r="O59" s="186">
        <v>3370</v>
      </c>
      <c r="P59" s="193">
        <f>3508-117</f>
        <v>3391</v>
      </c>
      <c r="Q59" s="79">
        <f t="shared" si="0"/>
        <v>40847</v>
      </c>
      <c r="R59" s="15">
        <f>+Q59/Q58</f>
        <v>24.488609112709831</v>
      </c>
      <c r="S59" s="105"/>
      <c r="T59" s="130"/>
    </row>
    <row r="60" spans="1:20" x14ac:dyDescent="0.25">
      <c r="A60" s="223" t="s">
        <v>142</v>
      </c>
      <c r="B60" s="228" t="s">
        <v>141</v>
      </c>
      <c r="C60" s="229"/>
      <c r="D60" s="76" t="s">
        <v>21</v>
      </c>
      <c r="E60" s="140">
        <v>76</v>
      </c>
      <c r="F60" s="109">
        <v>69</v>
      </c>
      <c r="G60" s="109">
        <v>76</v>
      </c>
      <c r="H60" s="109">
        <v>74</v>
      </c>
      <c r="I60" s="109">
        <v>76</v>
      </c>
      <c r="J60" s="109">
        <v>74</v>
      </c>
      <c r="K60" s="141">
        <v>76</v>
      </c>
      <c r="L60" s="24">
        <f>214-40</f>
        <v>174</v>
      </c>
      <c r="M60" s="108">
        <v>88</v>
      </c>
      <c r="N60" s="108">
        <v>91</v>
      </c>
      <c r="O60" s="106">
        <v>88</v>
      </c>
      <c r="P60" s="133">
        <v>91</v>
      </c>
      <c r="Q60" s="22">
        <f t="shared" si="0"/>
        <v>1053</v>
      </c>
      <c r="R60" s="15"/>
      <c r="S60" s="105">
        <v>900</v>
      </c>
      <c r="T60" s="130">
        <f>+Q60</f>
        <v>1053</v>
      </c>
    </row>
    <row r="61" spans="1:20" x14ac:dyDescent="0.25">
      <c r="A61" s="223"/>
      <c r="B61" s="230"/>
      <c r="C61" s="231"/>
      <c r="D61" s="76" t="s">
        <v>20</v>
      </c>
      <c r="E61" s="142">
        <v>1793</v>
      </c>
      <c r="F61" s="163">
        <v>1693</v>
      </c>
      <c r="G61" s="163">
        <v>1907</v>
      </c>
      <c r="H61" s="163">
        <v>1854</v>
      </c>
      <c r="I61" s="163">
        <v>1909</v>
      </c>
      <c r="J61" s="163">
        <v>1835</v>
      </c>
      <c r="K61" s="170">
        <v>1847</v>
      </c>
      <c r="L61" s="169">
        <v>5228</v>
      </c>
      <c r="M61" s="162">
        <v>2147</v>
      </c>
      <c r="N61" s="162">
        <v>2215</v>
      </c>
      <c r="O61" s="179">
        <v>2165</v>
      </c>
      <c r="P61" s="193">
        <f>2264+749</f>
        <v>3013</v>
      </c>
      <c r="Q61" s="79">
        <f t="shared" si="0"/>
        <v>27606</v>
      </c>
      <c r="R61" s="15">
        <f>+Q61/Q60</f>
        <v>26.216524216524217</v>
      </c>
      <c r="S61" s="105"/>
      <c r="T61" s="130"/>
    </row>
    <row r="62" spans="1:20" x14ac:dyDescent="0.25">
      <c r="A62" s="223" t="s">
        <v>71</v>
      </c>
      <c r="B62" s="228" t="s">
        <v>52</v>
      </c>
      <c r="C62" s="229"/>
      <c r="D62" s="76" t="s">
        <v>21</v>
      </c>
      <c r="E62" s="13">
        <v>77</v>
      </c>
      <c r="F62" s="108">
        <v>69</v>
      </c>
      <c r="G62" s="108">
        <v>77</v>
      </c>
      <c r="H62" s="108">
        <v>74</v>
      </c>
      <c r="I62" s="108">
        <v>77</v>
      </c>
      <c r="J62" s="108">
        <v>74</v>
      </c>
      <c r="K62" s="108">
        <v>77</v>
      </c>
      <c r="L62" s="24">
        <v>248</v>
      </c>
      <c r="M62" s="108">
        <v>95</v>
      </c>
      <c r="N62" s="108">
        <v>99</v>
      </c>
      <c r="O62" s="108">
        <v>95</v>
      </c>
      <c r="P62" s="187">
        <v>99</v>
      </c>
      <c r="Q62" s="21">
        <f t="shared" si="0"/>
        <v>1161</v>
      </c>
      <c r="R62" s="15"/>
      <c r="S62" s="105">
        <v>1160</v>
      </c>
      <c r="T62" s="130">
        <f>+Q62</f>
        <v>1161</v>
      </c>
    </row>
    <row r="63" spans="1:20" x14ac:dyDescent="0.25">
      <c r="A63" s="223"/>
      <c r="B63" s="230"/>
      <c r="C63" s="231"/>
      <c r="D63" s="76" t="s">
        <v>20</v>
      </c>
      <c r="E63" s="13">
        <f>1816+1235</f>
        <v>3051</v>
      </c>
      <c r="F63" s="108">
        <f>1693+1119</f>
        <v>2812</v>
      </c>
      <c r="G63" s="108">
        <f>1931+1235</f>
        <v>3166</v>
      </c>
      <c r="H63" s="108">
        <f>1854+1191</f>
        <v>3045</v>
      </c>
      <c r="I63" s="108">
        <f>1933+1235</f>
        <v>3168</v>
      </c>
      <c r="J63" s="108">
        <f>1835+1191</f>
        <v>3026</v>
      </c>
      <c r="K63" s="24">
        <f>1870+2808</f>
        <v>4678</v>
      </c>
      <c r="L63" s="24">
        <f>6059+1554</f>
        <v>7613</v>
      </c>
      <c r="M63" s="108">
        <f>2318+1496</f>
        <v>3814</v>
      </c>
      <c r="N63" s="108">
        <f>2410+1554</f>
        <v>3964</v>
      </c>
      <c r="O63" s="108">
        <f>2337+1496</f>
        <v>3833</v>
      </c>
      <c r="P63" s="187">
        <f>2464+1554+22-120</f>
        <v>3920</v>
      </c>
      <c r="Q63" s="79">
        <f t="shared" si="0"/>
        <v>46090</v>
      </c>
      <c r="R63" s="15">
        <f>+Q63/Q62</f>
        <v>39.698535745047373</v>
      </c>
      <c r="S63" s="105"/>
      <c r="T63" s="105"/>
    </row>
    <row r="64" spans="1:20" x14ac:dyDescent="0.25">
      <c r="A64" s="223" t="s">
        <v>72</v>
      </c>
      <c r="B64" s="228" t="s">
        <v>53</v>
      </c>
      <c r="C64" s="229"/>
      <c r="D64" s="76" t="s">
        <v>21</v>
      </c>
      <c r="E64" s="13">
        <v>619</v>
      </c>
      <c r="F64" s="108">
        <v>559</v>
      </c>
      <c r="G64" s="108">
        <v>619</v>
      </c>
      <c r="H64" s="108">
        <v>599</v>
      </c>
      <c r="I64" s="108">
        <v>619</v>
      </c>
      <c r="J64" s="108">
        <v>599</v>
      </c>
      <c r="K64" s="108">
        <v>619</v>
      </c>
      <c r="L64" s="24">
        <v>1019</v>
      </c>
      <c r="M64" s="108">
        <v>648</v>
      </c>
      <c r="N64" s="108">
        <v>670</v>
      </c>
      <c r="O64" s="108">
        <v>648</v>
      </c>
      <c r="P64" s="187">
        <v>670</v>
      </c>
      <c r="Q64" s="21">
        <f t="shared" si="0"/>
        <v>7888</v>
      </c>
      <c r="R64" s="15"/>
      <c r="S64" s="105">
        <v>7889</v>
      </c>
      <c r="T64" s="130">
        <f>+Q64</f>
        <v>7888</v>
      </c>
    </row>
    <row r="65" spans="1:20" x14ac:dyDescent="0.25">
      <c r="A65" s="223"/>
      <c r="B65" s="230"/>
      <c r="C65" s="231"/>
      <c r="D65" s="76" t="s">
        <v>20</v>
      </c>
      <c r="E65" s="13">
        <f>14603+9076</f>
        <v>23679</v>
      </c>
      <c r="F65" s="108">
        <f>13714+8208</f>
        <v>21922</v>
      </c>
      <c r="G65" s="108">
        <f>15531+9076</f>
        <v>24607</v>
      </c>
      <c r="H65" s="108">
        <f>15005+8786</f>
        <v>23791</v>
      </c>
      <c r="I65" s="108">
        <f>15543+9076</f>
        <v>24619</v>
      </c>
      <c r="J65" s="108">
        <f>14850+8786</f>
        <v>23636</v>
      </c>
      <c r="K65" s="24">
        <f>15036+10152</f>
        <v>25188</v>
      </c>
      <c r="L65" s="24">
        <f>24754+9813</f>
        <v>34567</v>
      </c>
      <c r="M65" s="108">
        <f>15812+9494</f>
        <v>25306</v>
      </c>
      <c r="N65" s="108">
        <f>16309+9813</f>
        <v>26122</v>
      </c>
      <c r="O65" s="108">
        <f>15942+9494</f>
        <v>25436</v>
      </c>
      <c r="P65" s="187">
        <f>16671+9813+316-655</f>
        <v>26145</v>
      </c>
      <c r="Q65" s="79">
        <f t="shared" si="0"/>
        <v>305018</v>
      </c>
      <c r="R65" s="15">
        <f>+Q65/Q64</f>
        <v>38.668610547667342</v>
      </c>
      <c r="S65" s="105"/>
      <c r="T65" s="105"/>
    </row>
    <row r="66" spans="1:20" x14ac:dyDescent="0.25">
      <c r="A66" s="223" t="s">
        <v>152</v>
      </c>
      <c r="B66" s="228" t="s">
        <v>54</v>
      </c>
      <c r="C66" s="229"/>
      <c r="D66" s="76" t="s">
        <v>21</v>
      </c>
      <c r="E66" s="13">
        <v>33</v>
      </c>
      <c r="F66" s="9">
        <v>29</v>
      </c>
      <c r="G66" s="8">
        <v>33</v>
      </c>
      <c r="H66" s="8">
        <v>32</v>
      </c>
      <c r="I66" s="8">
        <v>33</v>
      </c>
      <c r="J66" s="108">
        <v>32</v>
      </c>
      <c r="K66" s="108">
        <v>33</v>
      </c>
      <c r="L66" s="24">
        <v>-64</v>
      </c>
      <c r="M66" s="8">
        <v>26</v>
      </c>
      <c r="N66" s="8">
        <v>27</v>
      </c>
      <c r="O66" s="8">
        <v>26</v>
      </c>
      <c r="P66" s="187">
        <f>37</f>
        <v>37</v>
      </c>
      <c r="Q66" s="21">
        <f t="shared" si="0"/>
        <v>277</v>
      </c>
      <c r="R66" s="15"/>
      <c r="S66" s="105">
        <v>384</v>
      </c>
      <c r="T66" s="130">
        <f>+Q66</f>
        <v>277</v>
      </c>
    </row>
    <row r="67" spans="1:20" x14ac:dyDescent="0.25">
      <c r="A67" s="223"/>
      <c r="B67" s="230"/>
      <c r="C67" s="231"/>
      <c r="D67" s="76" t="s">
        <v>20</v>
      </c>
      <c r="E67" s="13">
        <f>779+362</f>
        <v>1141</v>
      </c>
      <c r="F67" s="13">
        <f>711+598</f>
        <v>1309</v>
      </c>
      <c r="G67" s="10">
        <f>829+598</f>
        <v>1427</v>
      </c>
      <c r="H67" s="10">
        <f>802+569</f>
        <v>1371</v>
      </c>
      <c r="I67" s="10">
        <f>829+569</f>
        <v>1398</v>
      </c>
      <c r="J67" s="108">
        <v>793</v>
      </c>
      <c r="K67" s="24">
        <f>802-981</f>
        <v>-179</v>
      </c>
      <c r="L67" s="24">
        <v>-1607</v>
      </c>
      <c r="M67" s="8">
        <f>634+518</f>
        <v>1152</v>
      </c>
      <c r="N67" s="8">
        <f>656+519</f>
        <v>1175</v>
      </c>
      <c r="O67" s="8">
        <f>639+500</f>
        <v>1139</v>
      </c>
      <c r="P67" s="187">
        <f>671+500+156-68</f>
        <v>1259</v>
      </c>
      <c r="Q67" s="79">
        <f t="shared" si="0"/>
        <v>10378</v>
      </c>
      <c r="R67" s="15">
        <f>+Q67/Q66</f>
        <v>37.465703971119133</v>
      </c>
      <c r="S67" s="105"/>
      <c r="T67" s="105"/>
    </row>
    <row r="68" spans="1:20" x14ac:dyDescent="0.25">
      <c r="A68" s="223" t="s">
        <v>151</v>
      </c>
      <c r="B68" s="228" t="s">
        <v>55</v>
      </c>
      <c r="C68" s="229"/>
      <c r="D68" s="76" t="s">
        <v>21</v>
      </c>
      <c r="E68" s="13">
        <v>419</v>
      </c>
      <c r="F68" s="106">
        <v>379</v>
      </c>
      <c r="G68" s="108">
        <v>419</v>
      </c>
      <c r="H68" s="108">
        <v>406</v>
      </c>
      <c r="I68" s="108">
        <v>419</v>
      </c>
      <c r="J68" s="108">
        <v>406</v>
      </c>
      <c r="K68" s="108">
        <v>419</v>
      </c>
      <c r="L68" s="24">
        <v>1823</v>
      </c>
      <c r="M68" s="108">
        <v>575</v>
      </c>
      <c r="N68" s="108">
        <v>594</v>
      </c>
      <c r="O68" s="108">
        <v>575</v>
      </c>
      <c r="P68" s="187">
        <f>594+181</f>
        <v>775</v>
      </c>
      <c r="Q68" s="21">
        <f t="shared" si="0"/>
        <v>7209</v>
      </c>
      <c r="R68" s="15"/>
      <c r="S68" s="105">
        <v>6993</v>
      </c>
      <c r="T68" s="130">
        <f>+Q68</f>
        <v>7209</v>
      </c>
    </row>
    <row r="69" spans="1:20" x14ac:dyDescent="0.25">
      <c r="A69" s="223"/>
      <c r="B69" s="230"/>
      <c r="C69" s="231"/>
      <c r="D69" s="76" t="s">
        <v>20</v>
      </c>
      <c r="E69" s="13">
        <f>9885+3243</f>
        <v>13128</v>
      </c>
      <c r="F69" s="106">
        <f>9297+2938</f>
        <v>12235</v>
      </c>
      <c r="G69" s="108">
        <f>10513+3243</f>
        <v>13756</v>
      </c>
      <c r="H69" s="108">
        <f>10170+3145</f>
        <v>13315</v>
      </c>
      <c r="I69" s="108">
        <f>10521+3243</f>
        <v>13764</v>
      </c>
      <c r="J69" s="108">
        <f>10064+3145</f>
        <v>13209</v>
      </c>
      <c r="K69" s="24">
        <f>10178+11396</f>
        <v>21574</v>
      </c>
      <c r="L69" s="24">
        <f>44594+4580</f>
        <v>49174</v>
      </c>
      <c r="M69" s="108">
        <f>14031+4436</f>
        <v>18467</v>
      </c>
      <c r="N69" s="108">
        <f>14458+4580</f>
        <v>19038</v>
      </c>
      <c r="O69" s="108">
        <f>14146+4436</f>
        <v>18582</v>
      </c>
      <c r="P69" s="187">
        <f>14779+4580-1205+4419</f>
        <v>22573</v>
      </c>
      <c r="Q69" s="79">
        <f t="shared" si="0"/>
        <v>228815</v>
      </c>
      <c r="R69" s="96">
        <f>+Q69/Q68</f>
        <v>31.740185878762659</v>
      </c>
      <c r="S69" s="105"/>
      <c r="T69" s="105"/>
    </row>
    <row r="70" spans="1:20" x14ac:dyDescent="0.25">
      <c r="A70" s="223" t="s">
        <v>162</v>
      </c>
      <c r="B70" s="228" t="s">
        <v>56</v>
      </c>
      <c r="C70" s="229"/>
      <c r="D70" s="76" t="s">
        <v>21</v>
      </c>
      <c r="E70" s="13">
        <v>0</v>
      </c>
      <c r="F70" s="9">
        <v>0</v>
      </c>
      <c r="G70" s="9">
        <v>0</v>
      </c>
      <c r="H70" s="9">
        <v>0</v>
      </c>
      <c r="I70" s="9">
        <v>0</v>
      </c>
      <c r="J70" s="106">
        <v>0</v>
      </c>
      <c r="K70" s="106">
        <v>0</v>
      </c>
      <c r="L70" s="9">
        <v>0</v>
      </c>
      <c r="M70" s="9">
        <v>0</v>
      </c>
      <c r="N70" s="9">
        <v>0</v>
      </c>
      <c r="O70" s="9">
        <v>0</v>
      </c>
      <c r="P70" s="23">
        <v>0</v>
      </c>
      <c r="Q70" s="21">
        <f t="shared" si="0"/>
        <v>0</v>
      </c>
      <c r="R70" s="15"/>
      <c r="S70" s="105">
        <v>0</v>
      </c>
      <c r="T70" s="130">
        <f>+Q70</f>
        <v>0</v>
      </c>
    </row>
    <row r="71" spans="1:20" x14ac:dyDescent="0.25">
      <c r="A71" s="223"/>
      <c r="B71" s="230"/>
      <c r="C71" s="231"/>
      <c r="D71" s="76" t="s">
        <v>20</v>
      </c>
      <c r="E71" s="10">
        <v>40</v>
      </c>
      <c r="F71" s="10">
        <v>41</v>
      </c>
      <c r="G71" s="10">
        <v>40</v>
      </c>
      <c r="H71" s="10">
        <v>41</v>
      </c>
      <c r="I71" s="10">
        <v>40</v>
      </c>
      <c r="J71" s="10">
        <v>41</v>
      </c>
      <c r="K71" s="108">
        <v>40</v>
      </c>
      <c r="L71" s="10">
        <v>40</v>
      </c>
      <c r="M71" s="10">
        <v>40</v>
      </c>
      <c r="N71" s="10">
        <v>40</v>
      </c>
      <c r="O71" s="10">
        <v>40</v>
      </c>
      <c r="P71" s="10">
        <v>40</v>
      </c>
      <c r="Q71" s="79">
        <f t="shared" ref="Q71:Q91" si="2">SUM(E71:P71)</f>
        <v>483</v>
      </c>
      <c r="R71" s="15" t="e">
        <f>+Q71/Q70</f>
        <v>#DIV/0!</v>
      </c>
      <c r="S71" s="105"/>
      <c r="T71" s="105"/>
    </row>
    <row r="72" spans="1:20" x14ac:dyDescent="0.25">
      <c r="A72" s="223" t="s">
        <v>145</v>
      </c>
      <c r="B72" s="228" t="s">
        <v>57</v>
      </c>
      <c r="C72" s="229"/>
      <c r="D72" s="76" t="s">
        <v>21</v>
      </c>
      <c r="E72" s="10">
        <v>87</v>
      </c>
      <c r="F72" s="108">
        <v>78</v>
      </c>
      <c r="G72" s="108">
        <v>87</v>
      </c>
      <c r="H72" s="108">
        <v>84</v>
      </c>
      <c r="I72" s="108">
        <v>87</v>
      </c>
      <c r="J72" s="108">
        <v>84</v>
      </c>
      <c r="K72" s="108">
        <v>87</v>
      </c>
      <c r="L72" s="24">
        <v>182</v>
      </c>
      <c r="M72" s="108">
        <v>95</v>
      </c>
      <c r="N72" s="108">
        <v>98</v>
      </c>
      <c r="O72" s="108">
        <v>95</v>
      </c>
      <c r="P72" s="187">
        <f>98+9</f>
        <v>107</v>
      </c>
      <c r="Q72" s="21">
        <f t="shared" si="2"/>
        <v>1171</v>
      </c>
      <c r="R72" s="15"/>
      <c r="S72" s="105">
        <v>1158</v>
      </c>
      <c r="T72" s="105">
        <f>+Q72</f>
        <v>1171</v>
      </c>
    </row>
    <row r="73" spans="1:20" x14ac:dyDescent="0.25">
      <c r="A73" s="223"/>
      <c r="B73" s="230"/>
      <c r="C73" s="231"/>
      <c r="D73" s="76" t="s">
        <v>20</v>
      </c>
      <c r="E73" s="10">
        <f>2052+705</f>
        <v>2757</v>
      </c>
      <c r="F73" s="108">
        <f>1913+670</f>
        <v>2583</v>
      </c>
      <c r="G73" s="108">
        <f>2182+671</f>
        <v>2853</v>
      </c>
      <c r="H73" s="108">
        <f>2105+683</f>
        <v>2788</v>
      </c>
      <c r="I73" s="108">
        <f>2184+705</f>
        <v>2889</v>
      </c>
      <c r="J73" s="108">
        <f>2083+683</f>
        <v>2766</v>
      </c>
      <c r="K73" s="24">
        <f>2112+1071</f>
        <v>3183</v>
      </c>
      <c r="L73" s="24">
        <f>4445+788</f>
        <v>5233</v>
      </c>
      <c r="M73" s="108">
        <f>2318+767</f>
        <v>3085</v>
      </c>
      <c r="N73" s="108">
        <f>2385+788</f>
        <v>3173</v>
      </c>
      <c r="O73" s="108">
        <f>2337+767</f>
        <v>3104</v>
      </c>
      <c r="P73" s="187">
        <f>2438+788-334+233</f>
        <v>3125</v>
      </c>
      <c r="Q73" s="79">
        <f t="shared" si="2"/>
        <v>37539</v>
      </c>
      <c r="R73" s="15">
        <f>+Q73/Q72</f>
        <v>32.057216054654141</v>
      </c>
      <c r="S73" s="105"/>
      <c r="T73" s="105"/>
    </row>
    <row r="74" spans="1:20" x14ac:dyDescent="0.25">
      <c r="A74" s="223" t="s">
        <v>164</v>
      </c>
      <c r="B74" s="228" t="s">
        <v>58</v>
      </c>
      <c r="C74" s="229"/>
      <c r="D74" s="76" t="s">
        <v>21</v>
      </c>
      <c r="E74" s="147">
        <v>166</v>
      </c>
      <c r="F74" s="94">
        <v>150</v>
      </c>
      <c r="G74" s="106">
        <v>166</v>
      </c>
      <c r="H74" s="106">
        <v>160</v>
      </c>
      <c r="I74" s="106">
        <v>166</v>
      </c>
      <c r="J74" s="106">
        <v>160</v>
      </c>
      <c r="K74" s="23">
        <v>660</v>
      </c>
      <c r="L74" s="106">
        <v>252</v>
      </c>
      <c r="M74" s="106">
        <v>244</v>
      </c>
      <c r="N74" s="106">
        <v>252</v>
      </c>
      <c r="O74" s="106">
        <v>244</v>
      </c>
      <c r="P74" s="23">
        <f>252+103</f>
        <v>355</v>
      </c>
      <c r="Q74" s="21">
        <f t="shared" si="2"/>
        <v>2975</v>
      </c>
      <c r="R74" s="15"/>
      <c r="S74" s="105">
        <v>2965</v>
      </c>
      <c r="T74" s="105">
        <f>+Q74</f>
        <v>2975</v>
      </c>
    </row>
    <row r="75" spans="1:20" x14ac:dyDescent="0.25">
      <c r="A75" s="223"/>
      <c r="B75" s="230"/>
      <c r="C75" s="231"/>
      <c r="D75" s="76" t="s">
        <v>20</v>
      </c>
      <c r="E75" s="147">
        <f>3916+2594</f>
        <v>6510</v>
      </c>
      <c r="F75" s="94">
        <f>3681+2292</f>
        <v>5973</v>
      </c>
      <c r="G75" s="110">
        <f>4165+2364</f>
        <v>6529</v>
      </c>
      <c r="H75" s="110">
        <f>4009+2522</f>
        <v>6531</v>
      </c>
      <c r="I75" s="110">
        <f>4168+2594</f>
        <v>6762</v>
      </c>
      <c r="J75" s="129">
        <f>3967+7659</f>
        <v>11626</v>
      </c>
      <c r="K75" s="129">
        <f>16231+4350</f>
        <v>20581</v>
      </c>
      <c r="L75" s="109">
        <f>6075+3882</f>
        <v>9957</v>
      </c>
      <c r="M75" s="109">
        <f>5955+3534</f>
        <v>9489</v>
      </c>
      <c r="N75" s="109">
        <f>6133+4112</f>
        <v>10245</v>
      </c>
      <c r="O75" s="109">
        <f>6004+3405</f>
        <v>9409</v>
      </c>
      <c r="P75" s="195">
        <f>6269+3801+2521</f>
        <v>12591</v>
      </c>
      <c r="Q75" s="79">
        <f t="shared" si="2"/>
        <v>116203</v>
      </c>
      <c r="R75" s="15">
        <f>+Q75/Q74</f>
        <v>39.059831932773108</v>
      </c>
      <c r="S75" s="105"/>
      <c r="T75" s="105"/>
    </row>
    <row r="76" spans="1:20" x14ac:dyDescent="0.25">
      <c r="A76" s="223" t="s">
        <v>73</v>
      </c>
      <c r="B76" s="228" t="s">
        <v>59</v>
      </c>
      <c r="C76" s="229"/>
      <c r="D76" s="76" t="s">
        <v>21</v>
      </c>
      <c r="E76" s="145">
        <v>0</v>
      </c>
      <c r="F76" s="110">
        <v>0</v>
      </c>
      <c r="G76" s="110">
        <v>0</v>
      </c>
      <c r="H76" s="110">
        <v>0</v>
      </c>
      <c r="I76" s="110">
        <v>0</v>
      </c>
      <c r="J76" s="110">
        <v>0</v>
      </c>
      <c r="K76" s="110">
        <v>0</v>
      </c>
      <c r="L76" s="129">
        <v>0</v>
      </c>
      <c r="M76" s="106">
        <v>0</v>
      </c>
      <c r="N76" s="106">
        <v>0</v>
      </c>
      <c r="O76" s="106">
        <v>0</v>
      </c>
      <c r="P76" s="190">
        <v>0</v>
      </c>
      <c r="Q76" s="21">
        <f t="shared" si="2"/>
        <v>0</v>
      </c>
      <c r="R76" s="15"/>
      <c r="S76" s="105">
        <v>0</v>
      </c>
      <c r="T76" s="130">
        <f>+Q76</f>
        <v>0</v>
      </c>
    </row>
    <row r="77" spans="1:20" x14ac:dyDescent="0.25">
      <c r="A77" s="223"/>
      <c r="B77" s="230"/>
      <c r="C77" s="231"/>
      <c r="D77" s="76" t="s">
        <v>20</v>
      </c>
      <c r="E77" s="140">
        <v>121</v>
      </c>
      <c r="F77" s="109">
        <v>120</v>
      </c>
      <c r="G77" s="109">
        <v>121</v>
      </c>
      <c r="H77" s="109">
        <v>120</v>
      </c>
      <c r="I77" s="109">
        <v>121</v>
      </c>
      <c r="J77" s="109">
        <v>121</v>
      </c>
      <c r="K77" s="95">
        <v>120</v>
      </c>
      <c r="L77" s="95">
        <v>121</v>
      </c>
      <c r="M77" s="108">
        <v>120</v>
      </c>
      <c r="N77" s="108">
        <v>121</v>
      </c>
      <c r="O77" s="108">
        <v>120</v>
      </c>
      <c r="P77" s="192">
        <v>121</v>
      </c>
      <c r="Q77" s="79">
        <f t="shared" si="2"/>
        <v>1447</v>
      </c>
      <c r="R77" s="15" t="e">
        <f>+Q77/Q76</f>
        <v>#DIV/0!</v>
      </c>
      <c r="S77" s="105"/>
      <c r="T77" s="105"/>
    </row>
    <row r="78" spans="1:20" ht="15" customHeight="1" x14ac:dyDescent="0.25">
      <c r="A78" s="223" t="s">
        <v>148</v>
      </c>
      <c r="B78" s="228" t="s">
        <v>60</v>
      </c>
      <c r="C78" s="229"/>
      <c r="D78" s="76" t="s">
        <v>21</v>
      </c>
      <c r="E78" s="13">
        <v>298</v>
      </c>
      <c r="F78" s="106">
        <v>269</v>
      </c>
      <c r="G78" s="106">
        <v>298</v>
      </c>
      <c r="H78" s="110">
        <v>288</v>
      </c>
      <c r="I78" s="110">
        <v>298</v>
      </c>
      <c r="J78" s="110">
        <v>288</v>
      </c>
      <c r="K78" s="110">
        <v>298</v>
      </c>
      <c r="L78" s="23">
        <v>2780</v>
      </c>
      <c r="M78" s="106">
        <v>637</v>
      </c>
      <c r="N78" s="110">
        <v>658</v>
      </c>
      <c r="O78" s="110">
        <v>637</v>
      </c>
      <c r="P78" s="190">
        <f>658+1203</f>
        <v>1861</v>
      </c>
      <c r="Q78" s="21">
        <f t="shared" si="2"/>
        <v>8610</v>
      </c>
      <c r="R78" s="15"/>
      <c r="S78" s="105">
        <v>3509</v>
      </c>
      <c r="T78" s="105">
        <f>+Q78</f>
        <v>8610</v>
      </c>
    </row>
    <row r="79" spans="1:20" x14ac:dyDescent="0.25">
      <c r="A79" s="223"/>
      <c r="B79" s="230"/>
      <c r="C79" s="231"/>
      <c r="D79" s="76" t="s">
        <v>20</v>
      </c>
      <c r="E79" s="10">
        <f>7031+4157</f>
        <v>11188</v>
      </c>
      <c r="F79" s="108">
        <f>6600+4287</f>
        <v>10887</v>
      </c>
      <c r="G79" s="108">
        <f>7478+4157</f>
        <v>11635</v>
      </c>
      <c r="H79" s="109">
        <f>7214+4576</f>
        <v>11790</v>
      </c>
      <c r="I79" s="109">
        <f>7484+4157</f>
        <v>11641</v>
      </c>
      <c r="J79" s="109">
        <f>7139+4157</f>
        <v>11296</v>
      </c>
      <c r="K79" s="95">
        <f>7239+37454</f>
        <v>44693</v>
      </c>
      <c r="L79" s="24">
        <f>68318+9336</f>
        <v>77654</v>
      </c>
      <c r="M79" s="108">
        <f>15543+8728</f>
        <v>24271</v>
      </c>
      <c r="N79" s="109">
        <f>16017+9957</f>
        <v>25974</v>
      </c>
      <c r="O79" s="109">
        <f>15670+9639</f>
        <v>25309</v>
      </c>
      <c r="P79" s="190">
        <f>16372+9957+29313</f>
        <v>55642</v>
      </c>
      <c r="Q79" s="79">
        <f t="shared" si="2"/>
        <v>321980</v>
      </c>
      <c r="R79" s="15">
        <f>+Q79/Q78</f>
        <v>37.39605110336818</v>
      </c>
      <c r="S79" s="105"/>
      <c r="T79" s="105"/>
    </row>
    <row r="80" spans="1:20" x14ac:dyDescent="0.25">
      <c r="A80" s="223" t="s">
        <v>143</v>
      </c>
      <c r="B80" s="228" t="s">
        <v>130</v>
      </c>
      <c r="C80" s="229"/>
      <c r="D80" s="76" t="s">
        <v>21</v>
      </c>
      <c r="E80" s="10">
        <v>1</v>
      </c>
      <c r="F80" s="108">
        <v>0</v>
      </c>
      <c r="G80" s="140">
        <v>0</v>
      </c>
      <c r="H80" s="109">
        <v>0</v>
      </c>
      <c r="I80" s="109">
        <v>0</v>
      </c>
      <c r="J80" s="109">
        <v>0</v>
      </c>
      <c r="K80" s="141">
        <v>0</v>
      </c>
      <c r="L80" s="108">
        <v>0</v>
      </c>
      <c r="M80" s="108">
        <v>0</v>
      </c>
      <c r="N80" s="109">
        <v>0</v>
      </c>
      <c r="O80" s="109">
        <v>0</v>
      </c>
      <c r="P80" s="190">
        <v>0</v>
      </c>
      <c r="Q80" s="22">
        <f t="shared" si="2"/>
        <v>1</v>
      </c>
      <c r="R80" s="15"/>
      <c r="S80" s="105">
        <v>0</v>
      </c>
      <c r="T80" s="130">
        <f>+Q80</f>
        <v>1</v>
      </c>
    </row>
    <row r="81" spans="1:20" x14ac:dyDescent="0.25">
      <c r="A81" s="223"/>
      <c r="B81" s="230"/>
      <c r="C81" s="231"/>
      <c r="D81" s="76" t="s">
        <v>20</v>
      </c>
      <c r="E81" s="10">
        <f>27+137</f>
        <v>164</v>
      </c>
      <c r="F81" s="108">
        <v>120.5</v>
      </c>
      <c r="G81" s="140">
        <v>120.5</v>
      </c>
      <c r="H81" s="109">
        <v>120.5</v>
      </c>
      <c r="I81" s="109">
        <v>120.5</v>
      </c>
      <c r="J81" s="109">
        <v>120.5</v>
      </c>
      <c r="K81" s="141">
        <v>120</v>
      </c>
      <c r="L81" s="108">
        <v>121</v>
      </c>
      <c r="M81" s="108">
        <v>120</v>
      </c>
      <c r="N81" s="109">
        <v>121</v>
      </c>
      <c r="O81" s="109">
        <v>120</v>
      </c>
      <c r="P81" s="134">
        <v>121</v>
      </c>
      <c r="Q81" s="79">
        <f t="shared" si="2"/>
        <v>1489.5</v>
      </c>
      <c r="R81" s="15">
        <f t="shared" ref="R81" si="3">+Q81/Q80</f>
        <v>1489.5</v>
      </c>
      <c r="S81" s="105"/>
      <c r="T81" s="105"/>
    </row>
    <row r="82" spans="1:20" x14ac:dyDescent="0.25">
      <c r="A82" s="255" t="s">
        <v>205</v>
      </c>
      <c r="B82" s="243" t="s">
        <v>199</v>
      </c>
      <c r="C82" s="238"/>
      <c r="D82" s="76" t="s">
        <v>21</v>
      </c>
      <c r="E82" s="10">
        <v>0</v>
      </c>
      <c r="F82" s="10">
        <v>0</v>
      </c>
      <c r="G82" s="10">
        <v>0</v>
      </c>
      <c r="H82" s="109">
        <v>0</v>
      </c>
      <c r="I82" s="109">
        <v>0</v>
      </c>
      <c r="J82" s="109">
        <v>86</v>
      </c>
      <c r="K82" s="109">
        <v>150</v>
      </c>
      <c r="L82" s="10">
        <v>150</v>
      </c>
      <c r="M82" s="10">
        <v>150</v>
      </c>
      <c r="N82" s="93">
        <v>150</v>
      </c>
      <c r="O82" s="93">
        <v>150</v>
      </c>
      <c r="P82" s="190">
        <v>-106</v>
      </c>
      <c r="Q82" s="22">
        <f t="shared" si="2"/>
        <v>730</v>
      </c>
      <c r="R82" s="15"/>
      <c r="S82" s="105">
        <v>0</v>
      </c>
      <c r="T82" s="130">
        <f>+Q82</f>
        <v>730</v>
      </c>
    </row>
    <row r="83" spans="1:20" x14ac:dyDescent="0.25">
      <c r="A83" s="255"/>
      <c r="B83" s="239"/>
      <c r="C83" s="240"/>
      <c r="D83" s="76" t="s">
        <v>20</v>
      </c>
      <c r="E83" s="10">
        <v>0</v>
      </c>
      <c r="F83" s="10">
        <v>0</v>
      </c>
      <c r="G83" s="10">
        <v>0</v>
      </c>
      <c r="H83" s="109">
        <v>0</v>
      </c>
      <c r="I83" s="109">
        <v>0</v>
      </c>
      <c r="J83" s="109">
        <v>3799</v>
      </c>
      <c r="K83" s="109">
        <v>6537</v>
      </c>
      <c r="L83" s="10">
        <v>6537</v>
      </c>
      <c r="M83" s="10">
        <f>4245+2292</f>
        <v>6537</v>
      </c>
      <c r="N83" s="93">
        <f>4245+2292</f>
        <v>6537</v>
      </c>
      <c r="O83" s="93">
        <f>4245+2292</f>
        <v>6537</v>
      </c>
      <c r="P83" s="190">
        <v>-4546</v>
      </c>
      <c r="Q83" s="79">
        <f t="shared" si="2"/>
        <v>31938</v>
      </c>
      <c r="R83" s="15">
        <f t="shared" ref="R83:R87" si="4">+Q83/Q82</f>
        <v>43.750684931506846</v>
      </c>
      <c r="S83" s="105"/>
      <c r="T83" s="105"/>
    </row>
    <row r="84" spans="1:20" x14ac:dyDescent="0.25">
      <c r="A84" s="223" t="s">
        <v>131</v>
      </c>
      <c r="B84" s="228" t="s">
        <v>129</v>
      </c>
      <c r="C84" s="229"/>
      <c r="D84" s="76" t="s">
        <v>21</v>
      </c>
      <c r="E84" s="24">
        <v>195</v>
      </c>
      <c r="F84" s="10">
        <v>0</v>
      </c>
      <c r="G84" s="10">
        <v>0</v>
      </c>
      <c r="H84" s="109">
        <v>0</v>
      </c>
      <c r="I84" s="109">
        <v>0</v>
      </c>
      <c r="J84" s="109">
        <v>0</v>
      </c>
      <c r="K84" s="109">
        <v>0</v>
      </c>
      <c r="L84" s="24">
        <v>1400</v>
      </c>
      <c r="M84" s="10">
        <v>222</v>
      </c>
      <c r="N84" s="93">
        <v>229</v>
      </c>
      <c r="O84" s="93">
        <v>222</v>
      </c>
      <c r="P84" s="190">
        <f>229+276</f>
        <v>505</v>
      </c>
      <c r="Q84" s="22">
        <f t="shared" si="2"/>
        <v>2773</v>
      </c>
      <c r="R84" s="15"/>
      <c r="S84" s="105">
        <v>2700</v>
      </c>
      <c r="T84" s="130">
        <f>+Q84</f>
        <v>2773</v>
      </c>
    </row>
    <row r="85" spans="1:20" x14ac:dyDescent="0.25">
      <c r="A85" s="223"/>
      <c r="B85" s="230"/>
      <c r="C85" s="231"/>
      <c r="D85" s="76" t="s">
        <v>20</v>
      </c>
      <c r="E85" s="24">
        <f>5283+2434+508+234</f>
        <v>8459</v>
      </c>
      <c r="F85" s="10">
        <v>120.5</v>
      </c>
      <c r="G85" s="10">
        <v>120.5</v>
      </c>
      <c r="H85" s="10">
        <v>120.5</v>
      </c>
      <c r="I85" s="10">
        <v>120.5</v>
      </c>
      <c r="J85" s="108">
        <v>120.5</v>
      </c>
      <c r="K85" s="95">
        <f>17058+3434</f>
        <v>20492</v>
      </c>
      <c r="L85" s="24">
        <f>34691+3550</f>
        <v>38241</v>
      </c>
      <c r="M85" s="10">
        <f>5417+3231</f>
        <v>8648</v>
      </c>
      <c r="N85" s="93">
        <f>5573+3766</f>
        <v>9339</v>
      </c>
      <c r="O85" s="93">
        <v>5461</v>
      </c>
      <c r="P85" s="190">
        <f>5697+3465+1112+6723</f>
        <v>16997</v>
      </c>
      <c r="Q85" s="79">
        <f t="shared" si="2"/>
        <v>108239.5</v>
      </c>
      <c r="R85" s="15">
        <f t="shared" si="4"/>
        <v>39.033357374684456</v>
      </c>
      <c r="S85" s="105"/>
      <c r="T85" s="105"/>
    </row>
    <row r="86" spans="1:20" x14ac:dyDescent="0.25">
      <c r="A86" s="223" t="s">
        <v>165</v>
      </c>
      <c r="B86" s="228" t="s">
        <v>132</v>
      </c>
      <c r="C86" s="229"/>
      <c r="D86" s="76" t="s">
        <v>21</v>
      </c>
      <c r="E86" s="10">
        <v>260</v>
      </c>
      <c r="F86" s="108">
        <v>235</v>
      </c>
      <c r="G86" s="108">
        <v>260</v>
      </c>
      <c r="H86" s="108">
        <v>252</v>
      </c>
      <c r="I86" s="108">
        <v>260</v>
      </c>
      <c r="J86" s="108">
        <v>252</v>
      </c>
      <c r="K86" s="109">
        <v>260</v>
      </c>
      <c r="L86" s="24">
        <v>115</v>
      </c>
      <c r="M86" s="108">
        <v>233</v>
      </c>
      <c r="N86" s="109">
        <v>240</v>
      </c>
      <c r="O86" s="109">
        <v>233</v>
      </c>
      <c r="P86" s="190">
        <f>240+47</f>
        <v>287</v>
      </c>
      <c r="Q86" s="22">
        <f t="shared" si="2"/>
        <v>2887</v>
      </c>
      <c r="R86" s="15"/>
      <c r="S86" s="105">
        <v>2830</v>
      </c>
      <c r="T86" s="105">
        <f>+Q86</f>
        <v>2887</v>
      </c>
    </row>
    <row r="87" spans="1:20" x14ac:dyDescent="0.25">
      <c r="A87" s="223"/>
      <c r="B87" s="230"/>
      <c r="C87" s="231"/>
      <c r="D87" s="76" t="s">
        <v>20</v>
      </c>
      <c r="E87" s="112">
        <v>6134</v>
      </c>
      <c r="F87" s="162">
        <v>5765</v>
      </c>
      <c r="G87" s="162">
        <v>6524</v>
      </c>
      <c r="H87" s="162">
        <v>6312</v>
      </c>
      <c r="I87" s="162">
        <v>6530</v>
      </c>
      <c r="J87" s="162">
        <v>6246</v>
      </c>
      <c r="K87" s="163">
        <v>6316</v>
      </c>
      <c r="L87" s="169">
        <v>2688</v>
      </c>
      <c r="M87" s="162">
        <v>5686</v>
      </c>
      <c r="N87" s="163">
        <v>5842</v>
      </c>
      <c r="O87" s="163">
        <v>5733</v>
      </c>
      <c r="P87" s="194">
        <f>5971-179</f>
        <v>5792</v>
      </c>
      <c r="Q87" s="79">
        <f t="shared" si="2"/>
        <v>69568</v>
      </c>
      <c r="R87" s="15">
        <f t="shared" si="4"/>
        <v>24.0969864911673</v>
      </c>
      <c r="S87" s="105"/>
      <c r="T87" s="105"/>
    </row>
    <row r="88" spans="1:20" x14ac:dyDescent="0.25">
      <c r="A88" s="251" t="s">
        <v>125</v>
      </c>
      <c r="B88" s="228" t="s">
        <v>74</v>
      </c>
      <c r="C88" s="229"/>
      <c r="D88" s="76" t="s">
        <v>21</v>
      </c>
      <c r="E88" s="13">
        <v>425</v>
      </c>
      <c r="F88" s="108">
        <v>384</v>
      </c>
      <c r="G88" s="106">
        <v>425</v>
      </c>
      <c r="H88" s="106">
        <v>411</v>
      </c>
      <c r="I88" s="106">
        <v>425</v>
      </c>
      <c r="J88" s="106">
        <v>411</v>
      </c>
      <c r="K88" s="106">
        <v>425</v>
      </c>
      <c r="L88" s="24">
        <f>329+256</f>
        <v>585</v>
      </c>
      <c r="M88" s="106">
        <v>411</v>
      </c>
      <c r="N88" s="106">
        <v>425</v>
      </c>
      <c r="O88" s="106">
        <v>411</v>
      </c>
      <c r="P88" s="190">
        <v>325</v>
      </c>
      <c r="Q88" s="22">
        <f t="shared" si="2"/>
        <v>5063</v>
      </c>
      <c r="R88" s="15"/>
      <c r="S88" s="105">
        <v>4374</v>
      </c>
      <c r="T88" s="130">
        <f>+Q88</f>
        <v>5063</v>
      </c>
    </row>
    <row r="89" spans="1:20" x14ac:dyDescent="0.25">
      <c r="A89" s="252"/>
      <c r="B89" s="230"/>
      <c r="C89" s="231"/>
      <c r="D89" s="76" t="s">
        <v>20</v>
      </c>
      <c r="E89" s="13">
        <f>8577+9092</f>
        <v>17669</v>
      </c>
      <c r="F89" s="108">
        <f>8110+7752</f>
        <v>15862</v>
      </c>
      <c r="G89" s="106">
        <f>9214+8548</f>
        <v>17762</v>
      </c>
      <c r="H89" s="106">
        <f>8895+8548</f>
        <v>17443</v>
      </c>
      <c r="I89" s="106">
        <f>9223+8800</f>
        <v>18023</v>
      </c>
      <c r="J89" s="23">
        <f>8788+5905</f>
        <v>14693</v>
      </c>
      <c r="K89" s="106">
        <f>8874+8548</f>
        <v>17422</v>
      </c>
      <c r="L89" s="24">
        <f>6761+8800+9166</f>
        <v>24727</v>
      </c>
      <c r="M89" s="106">
        <f>8628+8004</f>
        <v>16632</v>
      </c>
      <c r="N89" s="106">
        <f>8896+9345</f>
        <v>18241</v>
      </c>
      <c r="O89" s="106">
        <f>8710+7752</f>
        <v>16462</v>
      </c>
      <c r="P89" s="189">
        <f>9125+1547</f>
        <v>10672</v>
      </c>
      <c r="Q89" s="79">
        <f t="shared" si="2"/>
        <v>205608</v>
      </c>
      <c r="R89" s="15">
        <f t="shared" ref="R89" si="5">+Q89/Q88</f>
        <v>40.609915070116529</v>
      </c>
      <c r="S89" s="105"/>
      <c r="T89" s="105"/>
    </row>
    <row r="90" spans="1:20" ht="15" customHeight="1" x14ac:dyDescent="0.25">
      <c r="A90" s="241" t="s">
        <v>126</v>
      </c>
      <c r="B90" s="228" t="s">
        <v>75</v>
      </c>
      <c r="C90" s="229"/>
      <c r="D90" s="76" t="s">
        <v>21</v>
      </c>
      <c r="E90" s="10">
        <v>41616</v>
      </c>
      <c r="F90" s="108">
        <v>37589</v>
      </c>
      <c r="G90" s="108">
        <v>41616</v>
      </c>
      <c r="H90" s="108">
        <v>40274</v>
      </c>
      <c r="I90" s="108">
        <v>41616</v>
      </c>
      <c r="J90" s="108">
        <v>40274</v>
      </c>
      <c r="K90" s="108">
        <v>41616</v>
      </c>
      <c r="L90" s="108">
        <v>41616</v>
      </c>
      <c r="M90" s="24">
        <f>41819-18615</f>
        <v>23204</v>
      </c>
      <c r="N90" s="136">
        <v>43213</v>
      </c>
      <c r="O90" s="136">
        <v>41819</v>
      </c>
      <c r="P90" s="191">
        <f>43213-1086+2355</f>
        <v>44482</v>
      </c>
      <c r="Q90" s="21">
        <f t="shared" si="2"/>
        <v>478935</v>
      </c>
      <c r="R90" s="15"/>
      <c r="S90" s="105">
        <v>493161</v>
      </c>
      <c r="T90" s="130">
        <f>+Q90</f>
        <v>478935</v>
      </c>
    </row>
    <row r="91" spans="1:20" x14ac:dyDescent="0.25">
      <c r="A91" s="242"/>
      <c r="B91" s="230"/>
      <c r="C91" s="231"/>
      <c r="D91" s="77" t="s">
        <v>20</v>
      </c>
      <c r="E91" s="161">
        <f>839832+808682</f>
        <v>1648514</v>
      </c>
      <c r="F91" s="111">
        <f>793898+730460</f>
        <v>1524358</v>
      </c>
      <c r="G91" s="111">
        <f>902256+808682</f>
        <v>1710938</v>
      </c>
      <c r="H91" s="111">
        <f>871549+782614</f>
        <v>1654163</v>
      </c>
      <c r="I91" s="111">
        <f>903088+808682</f>
        <v>1711770</v>
      </c>
      <c r="J91" s="111">
        <f>861078+782614</f>
        <v>1643692</v>
      </c>
      <c r="K91" s="168">
        <f>868963+205188</f>
        <v>1074151</v>
      </c>
      <c r="L91" s="111">
        <f>861472+839705</f>
        <v>1701177</v>
      </c>
      <c r="M91" s="168">
        <f>218382+812627+22863+21095</f>
        <v>1074967</v>
      </c>
      <c r="N91" s="138">
        <f>904470+808682</f>
        <v>1713152</v>
      </c>
      <c r="O91" s="138">
        <f>886166+782614</f>
        <v>1668780</v>
      </c>
      <c r="P91" s="185">
        <f>927805+532769</f>
        <v>1460574</v>
      </c>
      <c r="Q91" s="155">
        <f t="shared" si="2"/>
        <v>18586236</v>
      </c>
      <c r="R91" s="15">
        <f>+Q91/Q90</f>
        <v>38.807428983056155</v>
      </c>
      <c r="S91" s="105"/>
      <c r="T91" s="105"/>
    </row>
    <row r="92" spans="1:20" x14ac:dyDescent="0.25">
      <c r="A92" s="258" t="s">
        <v>203</v>
      </c>
      <c r="B92" s="228" t="s">
        <v>204</v>
      </c>
      <c r="C92" s="229"/>
      <c r="D92" s="76" t="s">
        <v>21</v>
      </c>
      <c r="E92" s="161"/>
      <c r="F92" s="111"/>
      <c r="G92" s="111"/>
      <c r="H92" s="111">
        <v>0</v>
      </c>
      <c r="I92" s="111">
        <v>0</v>
      </c>
      <c r="J92" s="111">
        <v>0</v>
      </c>
      <c r="K92" s="111">
        <v>0</v>
      </c>
      <c r="L92" s="111">
        <v>0</v>
      </c>
      <c r="M92" s="111">
        <v>0</v>
      </c>
      <c r="N92" s="138">
        <v>0</v>
      </c>
      <c r="O92" s="138">
        <v>0</v>
      </c>
      <c r="P92" s="185">
        <f>2612+8657</f>
        <v>11269</v>
      </c>
      <c r="Q92" s="165">
        <f>SUM(E92:P92)</f>
        <v>11269</v>
      </c>
      <c r="R92" s="15"/>
      <c r="S92" s="105"/>
      <c r="T92" s="105">
        <f>+Q92</f>
        <v>11269</v>
      </c>
    </row>
    <row r="93" spans="1:20" x14ac:dyDescent="0.25">
      <c r="A93" s="259"/>
      <c r="B93" s="230"/>
      <c r="C93" s="231"/>
      <c r="D93" s="77" t="s">
        <v>20</v>
      </c>
      <c r="E93" s="161"/>
      <c r="F93" s="111"/>
      <c r="G93" s="111"/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38">
        <v>0</v>
      </c>
      <c r="O93" s="138">
        <v>0</v>
      </c>
      <c r="P93" s="185">
        <f>283528+221240</f>
        <v>504768</v>
      </c>
      <c r="Q93" s="155">
        <f>SUM(E93:P93)</f>
        <v>504768</v>
      </c>
      <c r="R93" s="15">
        <f t="shared" ref="R93" si="6">+Q93/Q92</f>
        <v>44.792616913656936</v>
      </c>
      <c r="S93" s="105"/>
      <c r="T93" s="105"/>
    </row>
    <row r="94" spans="1:20" x14ac:dyDescent="0.25">
      <c r="A94" s="264" t="s">
        <v>179</v>
      </c>
      <c r="B94" s="262" t="s">
        <v>180</v>
      </c>
      <c r="C94" s="263"/>
      <c r="D94" s="76" t="s">
        <v>21</v>
      </c>
      <c r="E94" s="161">
        <v>0</v>
      </c>
      <c r="F94" s="111">
        <v>0</v>
      </c>
      <c r="G94" s="137">
        <v>0</v>
      </c>
      <c r="H94" s="137">
        <v>0</v>
      </c>
      <c r="I94" s="111">
        <v>0</v>
      </c>
      <c r="J94" s="111">
        <v>0</v>
      </c>
      <c r="K94" s="111">
        <v>0</v>
      </c>
      <c r="L94" s="168">
        <v>0</v>
      </c>
      <c r="M94" s="111">
        <v>0</v>
      </c>
      <c r="N94" s="138">
        <v>0</v>
      </c>
      <c r="O94" s="138">
        <v>0</v>
      </c>
      <c r="P94" s="185">
        <v>0</v>
      </c>
      <c r="Q94" s="165">
        <f t="shared" ref="Q94:Q103" si="7">SUM(E94:P94)</f>
        <v>0</v>
      </c>
      <c r="R94" s="15"/>
      <c r="S94" s="105">
        <v>0</v>
      </c>
      <c r="T94" s="130">
        <f>+Q94</f>
        <v>0</v>
      </c>
    </row>
    <row r="95" spans="1:20" x14ac:dyDescent="0.25">
      <c r="A95" s="265"/>
      <c r="B95" s="230"/>
      <c r="C95" s="231"/>
      <c r="D95" s="77" t="s">
        <v>20</v>
      </c>
      <c r="E95" s="161">
        <v>0</v>
      </c>
      <c r="F95" s="111">
        <v>40</v>
      </c>
      <c r="G95" s="137">
        <v>40</v>
      </c>
      <c r="H95" s="137">
        <v>40</v>
      </c>
      <c r="I95" s="111">
        <v>39</v>
      </c>
      <c r="J95" s="111">
        <v>39</v>
      </c>
      <c r="K95" s="111">
        <v>39</v>
      </c>
      <c r="L95" s="168">
        <v>40</v>
      </c>
      <c r="M95" s="111">
        <v>39</v>
      </c>
      <c r="N95" s="138">
        <v>40</v>
      </c>
      <c r="O95" s="138">
        <v>39</v>
      </c>
      <c r="P95" s="139">
        <v>40</v>
      </c>
      <c r="Q95" s="155">
        <f t="shared" si="7"/>
        <v>435</v>
      </c>
      <c r="R95" s="15" t="e">
        <f t="shared" ref="R95:R101" si="8">+Q95/Q94</f>
        <v>#DIV/0!</v>
      </c>
      <c r="S95" s="105"/>
      <c r="T95" s="105"/>
    </row>
    <row r="96" spans="1:20" x14ac:dyDescent="0.25">
      <c r="A96" s="253" t="s">
        <v>209</v>
      </c>
      <c r="B96" s="228" t="s">
        <v>166</v>
      </c>
      <c r="C96" s="229"/>
      <c r="D96" s="76" t="s">
        <v>21</v>
      </c>
      <c r="E96" s="13">
        <v>17</v>
      </c>
      <c r="F96" s="108">
        <v>1</v>
      </c>
      <c r="G96" s="106">
        <v>1</v>
      </c>
      <c r="H96" s="106">
        <v>1</v>
      </c>
      <c r="I96" s="108">
        <v>1</v>
      </c>
      <c r="J96" s="108">
        <v>1</v>
      </c>
      <c r="K96" s="108">
        <v>1</v>
      </c>
      <c r="L96" s="108">
        <v>1</v>
      </c>
      <c r="M96" s="108">
        <v>1</v>
      </c>
      <c r="N96" s="136">
        <v>1</v>
      </c>
      <c r="O96" s="136">
        <v>1</v>
      </c>
      <c r="P96" s="188">
        <f>1+358+30</f>
        <v>389</v>
      </c>
      <c r="Q96" s="22">
        <f t="shared" si="7"/>
        <v>416</v>
      </c>
      <c r="R96" s="15"/>
      <c r="S96" s="105">
        <v>30</v>
      </c>
      <c r="T96" s="130">
        <f>+Q96</f>
        <v>416</v>
      </c>
    </row>
    <row r="97" spans="1:21" x14ac:dyDescent="0.25">
      <c r="A97" s="254"/>
      <c r="B97" s="230"/>
      <c r="C97" s="231"/>
      <c r="D97" s="76" t="s">
        <v>20</v>
      </c>
      <c r="E97" s="13">
        <f>897-121</f>
        <v>776</v>
      </c>
      <c r="F97" s="108">
        <v>162</v>
      </c>
      <c r="G97" s="106">
        <v>163</v>
      </c>
      <c r="H97" s="106">
        <v>163</v>
      </c>
      <c r="I97" s="108">
        <v>163</v>
      </c>
      <c r="J97" s="108">
        <v>162</v>
      </c>
      <c r="K97" s="108">
        <v>162</v>
      </c>
      <c r="L97" s="108">
        <v>162</v>
      </c>
      <c r="M97" s="108">
        <v>162</v>
      </c>
      <c r="N97" s="136">
        <v>162</v>
      </c>
      <c r="O97" s="136">
        <v>162</v>
      </c>
      <c r="P97" s="188">
        <f>162+15018+1293</f>
        <v>16473</v>
      </c>
      <c r="Q97" s="153">
        <f t="shared" si="7"/>
        <v>18872</v>
      </c>
      <c r="R97" s="15">
        <f t="shared" si="8"/>
        <v>45.365384615384613</v>
      </c>
      <c r="S97" s="105"/>
      <c r="T97" s="105"/>
    </row>
    <row r="98" spans="1:21" x14ac:dyDescent="0.25">
      <c r="A98" s="256" t="s">
        <v>200</v>
      </c>
      <c r="B98" s="228" t="s">
        <v>201</v>
      </c>
      <c r="C98" s="229"/>
      <c r="D98" s="76" t="s">
        <v>21</v>
      </c>
      <c r="E98" s="13">
        <v>0</v>
      </c>
      <c r="F98" s="108">
        <v>0</v>
      </c>
      <c r="G98" s="106">
        <v>0</v>
      </c>
      <c r="H98" s="106">
        <v>0</v>
      </c>
      <c r="I98" s="108">
        <v>0</v>
      </c>
      <c r="J98" s="108">
        <v>0</v>
      </c>
      <c r="K98" s="108">
        <v>89</v>
      </c>
      <c r="L98" s="108">
        <v>102</v>
      </c>
      <c r="M98" s="108">
        <v>99</v>
      </c>
      <c r="N98" s="136">
        <v>102</v>
      </c>
      <c r="O98" s="136">
        <v>99</v>
      </c>
      <c r="P98" s="188">
        <f>102-525+14</f>
        <v>-409</v>
      </c>
      <c r="Q98" s="22">
        <f>SUM(E98:P98)</f>
        <v>82</v>
      </c>
      <c r="R98" s="15"/>
      <c r="S98" s="105">
        <v>0</v>
      </c>
      <c r="T98" s="130">
        <f>+Q98</f>
        <v>82</v>
      </c>
    </row>
    <row r="99" spans="1:21" x14ac:dyDescent="0.25">
      <c r="A99" s="257"/>
      <c r="B99" s="230"/>
      <c r="C99" s="231"/>
      <c r="D99" s="76" t="s">
        <v>20</v>
      </c>
      <c r="E99" s="13">
        <v>0</v>
      </c>
      <c r="F99" s="108">
        <v>0</v>
      </c>
      <c r="G99" s="106">
        <v>0</v>
      </c>
      <c r="H99" s="106">
        <v>0</v>
      </c>
      <c r="I99" s="108">
        <v>0</v>
      </c>
      <c r="J99" s="108">
        <v>0</v>
      </c>
      <c r="K99" s="108">
        <f>2096+301</f>
        <v>2397</v>
      </c>
      <c r="L99" s="108">
        <f>2388+302</f>
        <v>2690</v>
      </c>
      <c r="M99" s="108">
        <f>2347+308</f>
        <v>2655</v>
      </c>
      <c r="N99" s="136">
        <f>2412+309</f>
        <v>2721</v>
      </c>
      <c r="O99" s="136">
        <f>2367+287</f>
        <v>2654</v>
      </c>
      <c r="P99" s="188">
        <f>2467+287-87-12143</f>
        <v>-9476</v>
      </c>
      <c r="Q99" s="153">
        <f>SUM(E99:P99)</f>
        <v>3641</v>
      </c>
      <c r="R99" s="15">
        <f>+Q99/Q98</f>
        <v>44.402439024390247</v>
      </c>
      <c r="S99" s="105"/>
      <c r="T99" s="105"/>
    </row>
    <row r="100" spans="1:21" x14ac:dyDescent="0.25">
      <c r="A100" s="253" t="s">
        <v>198</v>
      </c>
      <c r="B100" s="228" t="s">
        <v>197</v>
      </c>
      <c r="C100" s="229"/>
      <c r="D100" s="76" t="s">
        <v>21</v>
      </c>
      <c r="E100" s="13">
        <v>0</v>
      </c>
      <c r="F100" s="108">
        <v>0</v>
      </c>
      <c r="G100" s="106">
        <v>0</v>
      </c>
      <c r="H100" s="106">
        <v>0</v>
      </c>
      <c r="I100" s="108">
        <v>0</v>
      </c>
      <c r="J100" s="108">
        <v>0</v>
      </c>
      <c r="K100" s="108">
        <v>0</v>
      </c>
      <c r="L100" s="108">
        <v>0</v>
      </c>
      <c r="M100" s="108">
        <v>0</v>
      </c>
      <c r="N100" s="136">
        <v>250</v>
      </c>
      <c r="O100" s="136">
        <v>250</v>
      </c>
      <c r="P100" s="154">
        <v>250</v>
      </c>
      <c r="Q100" s="22">
        <f>SUM(E100:P100)</f>
        <v>750</v>
      </c>
      <c r="R100" s="15"/>
      <c r="S100" s="105">
        <v>0</v>
      </c>
      <c r="T100" s="105">
        <f>+Q100</f>
        <v>750</v>
      </c>
    </row>
    <row r="101" spans="1:21" ht="15.75" thickBot="1" x14ac:dyDescent="0.3">
      <c r="A101" s="254"/>
      <c r="B101" s="230"/>
      <c r="C101" s="231"/>
      <c r="D101" s="76" t="s">
        <v>20</v>
      </c>
      <c r="E101" s="180">
        <v>0</v>
      </c>
      <c r="F101" s="181">
        <v>0</v>
      </c>
      <c r="G101" s="182">
        <v>0</v>
      </c>
      <c r="H101" s="182">
        <v>0</v>
      </c>
      <c r="I101" s="181">
        <v>0</v>
      </c>
      <c r="J101" s="181">
        <v>0</v>
      </c>
      <c r="K101" s="181">
        <v>0</v>
      </c>
      <c r="L101" s="181">
        <v>0</v>
      </c>
      <c r="M101" s="181">
        <v>0</v>
      </c>
      <c r="N101" s="183">
        <f>5766+2925</f>
        <v>8691</v>
      </c>
      <c r="O101" s="183">
        <f>5766+2925</f>
        <v>8691</v>
      </c>
      <c r="P101" s="184">
        <f>5938+2997</f>
        <v>8935</v>
      </c>
      <c r="Q101" s="153">
        <f>SUM(E101:P101)</f>
        <v>26317</v>
      </c>
      <c r="R101" s="15">
        <f t="shared" si="8"/>
        <v>35.089333333333336</v>
      </c>
      <c r="S101" s="105"/>
      <c r="T101" s="105"/>
    </row>
    <row r="102" spans="1:21" ht="15.75" customHeight="1" thickTop="1" thickBot="1" x14ac:dyDescent="0.3">
      <c r="A102" s="245" t="s">
        <v>23</v>
      </c>
      <c r="B102" s="246"/>
      <c r="C102" s="247"/>
      <c r="D102" s="102" t="s">
        <v>21</v>
      </c>
      <c r="E102" s="103">
        <f>+E90+E88+E86+E84+E82+E80+E78+E76+E74+E72+E70+E68+E66+E64+E62+E60+E58+E56+E54+E52+E50+E48+E46+E44+E42+E40+E38+E36+E34+E32+E30+E28+E26+E24+E22+E20+E18+E16+E14+E12+E10+E8+E6+E4+E96+E94+E100+E98+E92</f>
        <v>50129</v>
      </c>
      <c r="F102" s="103">
        <f t="shared" ref="F102:P102" si="9">+F90+F88+F86+F84+F82+F80+F78+F76+F74+F72+F70+F68+F66+F64+F62+F60+F58+F56+F54+F52+F50+F48+F46+F44+F42+F40+F38+F36+F34+F32+F30+F28+F26+F24+F22+F20+F18+F16+F14+F12+F10+F8+F6+F4+F96+F94+F100+F98+F92</f>
        <v>45085</v>
      </c>
      <c r="G102" s="103">
        <f t="shared" si="9"/>
        <v>49917</v>
      </c>
      <c r="H102" s="103">
        <f t="shared" si="9"/>
        <v>48304</v>
      </c>
      <c r="I102" s="103">
        <f t="shared" si="9"/>
        <v>49917</v>
      </c>
      <c r="J102" s="103">
        <f t="shared" si="9"/>
        <v>48390</v>
      </c>
      <c r="K102" s="103">
        <f t="shared" si="9"/>
        <v>63872</v>
      </c>
      <c r="L102" s="103">
        <f t="shared" si="9"/>
        <v>74528</v>
      </c>
      <c r="M102" s="103">
        <f t="shared" si="9"/>
        <v>35518</v>
      </c>
      <c r="N102" s="103">
        <f t="shared" si="9"/>
        <v>56368</v>
      </c>
      <c r="O102" s="103">
        <f t="shared" si="9"/>
        <v>54435</v>
      </c>
      <c r="P102" s="103">
        <f t="shared" si="9"/>
        <v>61830</v>
      </c>
      <c r="Q102" s="114">
        <f t="shared" si="7"/>
        <v>638293</v>
      </c>
      <c r="R102" s="15"/>
      <c r="S102" s="116">
        <f>SUM(S4:S101)</f>
        <v>631456</v>
      </c>
      <c r="T102" s="116">
        <f>SUM(T4:T101)</f>
        <v>638293</v>
      </c>
      <c r="U102" s="116">
        <f>SUM(U4:U91)</f>
        <v>28229</v>
      </c>
    </row>
    <row r="103" spans="1:21" ht="16.5" thickBot="1" x14ac:dyDescent="0.3">
      <c r="A103" s="248"/>
      <c r="B103" s="249"/>
      <c r="C103" s="250"/>
      <c r="D103" s="100" t="s">
        <v>20</v>
      </c>
      <c r="E103" s="104">
        <f>+E91+E89+E87+E85+E83+E81+E79+E77+E61+E75+E73+E71+E69+E67+E65+E63+E59+E57+E55+E53+E51+E49+E47+E45+E43+E41+E39+E37+E35+E33+E31+E29+E27+E25+E23+E21+E19+E17+E15+E13+E11+E9+E7+E5+E97+E95+E101+E99+E93</f>
        <v>1968098.5</v>
      </c>
      <c r="F103" s="104">
        <f t="shared" ref="F103:P103" si="10">+F91+F89+F87+F85+F83+F81+F79+F77+F61+F75+F73+F71+F69+F67+F65+F63+F59+F57+F55+F53+F51+F49+F47+F45+F43+F41+F39+F37+F35+F33+F31+F29+F27+F25+F23+F21+F19+F17+F15+F13+F11+F9+F7+F5+F97+F95+F101+F99+F93</f>
        <v>1812923.5</v>
      </c>
      <c r="G103" s="104">
        <f t="shared" si="10"/>
        <v>2033560.5</v>
      </c>
      <c r="H103" s="104">
        <f t="shared" si="10"/>
        <v>1967378.5</v>
      </c>
      <c r="I103" s="104">
        <f t="shared" si="10"/>
        <v>2034910</v>
      </c>
      <c r="J103" s="104">
        <f t="shared" si="10"/>
        <v>1957486</v>
      </c>
      <c r="K103" s="104">
        <f t="shared" si="10"/>
        <v>1784590</v>
      </c>
      <c r="L103" s="104">
        <f t="shared" si="10"/>
        <v>3169457</v>
      </c>
      <c r="M103" s="104">
        <f t="shared" si="10"/>
        <v>1545979</v>
      </c>
      <c r="N103" s="104">
        <f t="shared" si="10"/>
        <v>2216510</v>
      </c>
      <c r="O103" s="104">
        <f t="shared" si="10"/>
        <v>2149399</v>
      </c>
      <c r="P103" s="104">
        <f t="shared" si="10"/>
        <v>2025725</v>
      </c>
      <c r="Q103" s="115">
        <f t="shared" si="7"/>
        <v>24666017</v>
      </c>
      <c r="R103" s="16">
        <f>+Q103/Q102</f>
        <v>38.643721613741654</v>
      </c>
      <c r="S103" s="105"/>
      <c r="T103" s="105"/>
    </row>
    <row r="104" spans="1:21" x14ac:dyDescent="0.25">
      <c r="Q104" s="105">
        <f>+Q90+Q88+Q86+Q84+Q82+Q80+Q78+Q76+Q60+Q74+Q72+Q70+Q68+Q66+Q64+Q62+Q58+Q56+Q54+Q52+Q50+Q48+Q46+Q44+Q42+Q40+Q38+Q36+Q34+Q32+Q30+Q28+Q26+Q24+Q22+Q20+Q18+Q16+Q14+Q12+Q10+Q8+Q6+Q4+Q96+Q94+Q100+Q98+Q92</f>
        <v>638293</v>
      </c>
      <c r="T104" s="105"/>
    </row>
    <row r="105" spans="1:21" x14ac:dyDescent="0.25">
      <c r="A105" s="113" t="s">
        <v>128</v>
      </c>
      <c r="Q105" s="105">
        <f>+Q91+Q89+Q87+Q85+Q83+Q81+Q79+Q77+Q61+Q75+Q73+Q71+Q69+Q67+Q65+Q63+Q59+Q57+Q55+Q53+Q51+Q49+Q47+Q45+Q43+Q41+Q39+Q37+Q35+Q33+Q31+Q29+Q27+Q25+Q23+Q21+Q19+Q17+Q15+Q13+Q11+Q9+Q7+Q5+Q97+Q95+Q101+Q99+Q93</f>
        <v>24666017</v>
      </c>
    </row>
    <row r="106" spans="1:21" x14ac:dyDescent="0.25">
      <c r="A106" s="117" t="s">
        <v>146</v>
      </c>
      <c r="S106">
        <v>2019</v>
      </c>
      <c r="T106" t="s">
        <v>196</v>
      </c>
    </row>
    <row r="107" spans="1:21" x14ac:dyDescent="0.25">
      <c r="A107" s="132" t="s">
        <v>140</v>
      </c>
      <c r="Q107" s="164" t="s">
        <v>202</v>
      </c>
      <c r="R107" s="164"/>
      <c r="T107" s="116">
        <v>55400</v>
      </c>
    </row>
    <row r="108" spans="1:21" x14ac:dyDescent="0.25">
      <c r="A108" s="156" t="s">
        <v>167</v>
      </c>
    </row>
    <row r="109" spans="1:21" x14ac:dyDescent="0.25">
      <c r="A109" s="199" t="s">
        <v>178</v>
      </c>
      <c r="Q109" s="260" t="s">
        <v>207</v>
      </c>
      <c r="R109" s="260"/>
      <c r="S109" s="260"/>
      <c r="T109" s="116">
        <f>+T107+Q102</f>
        <v>693693</v>
      </c>
      <c r="U109" s="198" t="s">
        <v>208</v>
      </c>
    </row>
    <row r="111" spans="1:21" x14ac:dyDescent="0.25">
      <c r="E111" s="200">
        <f>+E102+$T$111</f>
        <v>54745.666666666664</v>
      </c>
      <c r="F111" s="200">
        <f t="shared" ref="F111:P111" si="11">+F102+$T$111</f>
        <v>49701.666666666664</v>
      </c>
      <c r="G111" s="200">
        <f t="shared" si="11"/>
        <v>54533.666666666664</v>
      </c>
      <c r="H111" s="200">
        <f t="shared" si="11"/>
        <v>52920.666666666664</v>
      </c>
      <c r="I111" s="200">
        <f t="shared" si="11"/>
        <v>54533.666666666664</v>
      </c>
      <c r="J111" s="200">
        <f t="shared" si="11"/>
        <v>53006.666666666664</v>
      </c>
      <c r="K111" s="200">
        <f t="shared" si="11"/>
        <v>68488.666666666672</v>
      </c>
      <c r="L111" s="200">
        <f t="shared" si="11"/>
        <v>79144.666666666672</v>
      </c>
      <c r="M111" s="200">
        <f t="shared" si="11"/>
        <v>40134.666666666664</v>
      </c>
      <c r="N111" s="200">
        <f t="shared" si="11"/>
        <v>60984.666666666664</v>
      </c>
      <c r="O111" s="200">
        <f t="shared" si="11"/>
        <v>59051.666666666664</v>
      </c>
      <c r="P111" s="200">
        <f t="shared" si="11"/>
        <v>66446.666666666672</v>
      </c>
      <c r="Q111" s="201">
        <f>SUM(E111:P111)</f>
        <v>693693</v>
      </c>
      <c r="S111" t="s">
        <v>212</v>
      </c>
      <c r="T111" s="105">
        <f>+T107/12</f>
        <v>4616.666666666667</v>
      </c>
      <c r="U111" t="s">
        <v>211</v>
      </c>
    </row>
  </sheetData>
  <mergeCells count="108">
    <mergeCell ref="Q109:S109"/>
    <mergeCell ref="V19:W19"/>
    <mergeCell ref="A18:A19"/>
    <mergeCell ref="A22:A23"/>
    <mergeCell ref="B94:C95"/>
    <mergeCell ref="A94:A95"/>
    <mergeCell ref="A1:P1"/>
    <mergeCell ref="A4:A5"/>
    <mergeCell ref="A6:A7"/>
    <mergeCell ref="A2:Q2"/>
    <mergeCell ref="A10:A11"/>
    <mergeCell ref="B3:C3"/>
    <mergeCell ref="B4:C5"/>
    <mergeCell ref="B6:C7"/>
    <mergeCell ref="B40:C41"/>
    <mergeCell ref="B42:C43"/>
    <mergeCell ref="A70:A71"/>
    <mergeCell ref="B62:C63"/>
    <mergeCell ref="B54:C55"/>
    <mergeCell ref="B68:C69"/>
    <mergeCell ref="A64:A65"/>
    <mergeCell ref="A68:A69"/>
    <mergeCell ref="A56:A57"/>
    <mergeCell ref="A58:A59"/>
    <mergeCell ref="A86:A87"/>
    <mergeCell ref="B86:C87"/>
    <mergeCell ref="A74:A75"/>
    <mergeCell ref="A84:A85"/>
    <mergeCell ref="B84:C85"/>
    <mergeCell ref="A80:A81"/>
    <mergeCell ref="A102:C103"/>
    <mergeCell ref="B78:C79"/>
    <mergeCell ref="A90:A91"/>
    <mergeCell ref="B90:C91"/>
    <mergeCell ref="A88:A89"/>
    <mergeCell ref="B88:C89"/>
    <mergeCell ref="A96:A97"/>
    <mergeCell ref="B96:C97"/>
    <mergeCell ref="A82:A83"/>
    <mergeCell ref="B82:C83"/>
    <mergeCell ref="A78:A79"/>
    <mergeCell ref="A100:A101"/>
    <mergeCell ref="B100:C101"/>
    <mergeCell ref="A98:A99"/>
    <mergeCell ref="B98:C99"/>
    <mergeCell ref="B92:C93"/>
    <mergeCell ref="A92:A93"/>
    <mergeCell ref="B22:C23"/>
    <mergeCell ref="A28:A29"/>
    <mergeCell ref="A30:A31"/>
    <mergeCell ref="B56:C57"/>
    <mergeCell ref="B58:C59"/>
    <mergeCell ref="A34:A35"/>
    <mergeCell ref="B34:C35"/>
    <mergeCell ref="A52:A53"/>
    <mergeCell ref="B52:C53"/>
    <mergeCell ref="A50:A51"/>
    <mergeCell ref="A36:A37"/>
    <mergeCell ref="B36:C37"/>
    <mergeCell ref="B44:C45"/>
    <mergeCell ref="A44:A45"/>
    <mergeCell ref="A40:A41"/>
    <mergeCell ref="B46:C47"/>
    <mergeCell ref="A32:A33"/>
    <mergeCell ref="B32:C33"/>
    <mergeCell ref="A24:A25"/>
    <mergeCell ref="A26:A27"/>
    <mergeCell ref="A38:A39"/>
    <mergeCell ref="B38:C39"/>
    <mergeCell ref="B30:C31"/>
    <mergeCell ref="B26:C27"/>
    <mergeCell ref="B28:C29"/>
    <mergeCell ref="B24:C25"/>
    <mergeCell ref="A46:A47"/>
    <mergeCell ref="A48:A49"/>
    <mergeCell ref="A42:A43"/>
    <mergeCell ref="B80:C81"/>
    <mergeCell ref="A62:A63"/>
    <mergeCell ref="B50:C51"/>
    <mergeCell ref="B72:C73"/>
    <mergeCell ref="A76:A77"/>
    <mergeCell ref="B48:C49"/>
    <mergeCell ref="B74:C75"/>
    <mergeCell ref="B76:C77"/>
    <mergeCell ref="B70:C71"/>
    <mergeCell ref="A72:A73"/>
    <mergeCell ref="A54:A55"/>
    <mergeCell ref="B64:C65"/>
    <mergeCell ref="B66:C67"/>
    <mergeCell ref="A66:A67"/>
    <mergeCell ref="A60:A61"/>
    <mergeCell ref="B60:C61"/>
    <mergeCell ref="T1:T3"/>
    <mergeCell ref="U1:U3"/>
    <mergeCell ref="A20:A21"/>
    <mergeCell ref="A8:A9"/>
    <mergeCell ref="R1:R3"/>
    <mergeCell ref="B16:C17"/>
    <mergeCell ref="B18:C19"/>
    <mergeCell ref="B20:C21"/>
    <mergeCell ref="B8:C9"/>
    <mergeCell ref="B10:C11"/>
    <mergeCell ref="B12:C13"/>
    <mergeCell ref="B14:C15"/>
    <mergeCell ref="A12:A13"/>
    <mergeCell ref="A14:A15"/>
    <mergeCell ref="A16:A17"/>
    <mergeCell ref="S1:S3"/>
  </mergeCells>
  <pageMargins left="0.70866141732283472" right="0.70866141732283472" top="0.74803149606299213" bottom="0.74803149606299213" header="0.31496062992125984" footer="0.31496062992125984"/>
  <pageSetup paperSize="9" scale="6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="120" zoomScaleNormal="120" workbookViewId="0">
      <selection activeCell="F15" sqref="F15"/>
    </sheetView>
  </sheetViews>
  <sheetFormatPr defaultRowHeight="15" x14ac:dyDescent="0.25"/>
  <cols>
    <col min="1" max="1" width="30" style="1" customWidth="1"/>
    <col min="2" max="2" width="20.140625" style="1" customWidth="1"/>
    <col min="3" max="3" width="21.42578125" style="1" customWidth="1"/>
    <col min="4" max="4" width="18.7109375" style="1" customWidth="1"/>
    <col min="5" max="16384" width="9.140625" style="1"/>
  </cols>
  <sheetData>
    <row r="1" spans="1:5" ht="53.25" customHeight="1" x14ac:dyDescent="0.25">
      <c r="A1" s="276" t="s">
        <v>173</v>
      </c>
      <c r="B1" s="277"/>
      <c r="C1" s="278"/>
      <c r="D1" s="128" t="s">
        <v>138</v>
      </c>
      <c r="E1" s="219" t="s">
        <v>24</v>
      </c>
    </row>
    <row r="2" spans="1:5" s="2" customFormat="1" ht="15" customHeight="1" x14ac:dyDescent="0.2">
      <c r="A2" s="273"/>
      <c r="B2" s="274"/>
      <c r="C2" s="274"/>
      <c r="D2" s="275"/>
      <c r="E2" s="219"/>
    </row>
    <row r="3" spans="1:5" s="2" customFormat="1" ht="12.75" x14ac:dyDescent="0.2">
      <c r="A3" s="84" t="s">
        <v>1</v>
      </c>
      <c r="B3" s="85" t="s">
        <v>80</v>
      </c>
      <c r="C3" s="85" t="s">
        <v>81</v>
      </c>
      <c r="D3" s="86" t="s">
        <v>19</v>
      </c>
      <c r="E3" s="219"/>
    </row>
    <row r="4" spans="1:5" s="2" customFormat="1" ht="12.75" x14ac:dyDescent="0.2">
      <c r="A4" s="25" t="s">
        <v>14</v>
      </c>
      <c r="B4" s="3">
        <v>104.85</v>
      </c>
      <c r="C4" s="3">
        <v>2844.07</v>
      </c>
      <c r="D4" s="7">
        <f>SUM(B4:C4)</f>
        <v>2948.92</v>
      </c>
      <c r="E4" s="17"/>
    </row>
    <row r="5" spans="1:5" s="2" customFormat="1" ht="12.75" x14ac:dyDescent="0.2">
      <c r="A5" s="84" t="s">
        <v>15</v>
      </c>
      <c r="B5" s="5">
        <v>44402</v>
      </c>
      <c r="C5" s="5">
        <v>1112834</v>
      </c>
      <c r="D5" s="91">
        <f>SUM(B5:C5)</f>
        <v>1157236</v>
      </c>
      <c r="E5" s="17">
        <f>+D5/D4</f>
        <v>392.42705804158811</v>
      </c>
    </row>
    <row r="6" spans="1:5" s="2" customFormat="1" ht="12.75" x14ac:dyDescent="0.2">
      <c r="A6" s="25" t="s">
        <v>16</v>
      </c>
      <c r="B6" s="5">
        <v>11055.55</v>
      </c>
      <c r="C6" s="5">
        <v>1223.6300000000001</v>
      </c>
      <c r="D6" s="7">
        <f>SUM(B6:C6)</f>
        <v>12279.18</v>
      </c>
      <c r="E6" s="17"/>
    </row>
    <row r="7" spans="1:5" s="2" customFormat="1" ht="13.5" thickBot="1" x14ac:dyDescent="0.25">
      <c r="A7" s="87" t="s">
        <v>17</v>
      </c>
      <c r="B7" s="6">
        <v>4369834</v>
      </c>
      <c r="C7" s="6">
        <v>504556</v>
      </c>
      <c r="D7" s="90">
        <f>SUM(B7:C7)</f>
        <v>4874390</v>
      </c>
      <c r="E7" s="17">
        <f>+D7/D6</f>
        <v>396.96380377191309</v>
      </c>
    </row>
    <row r="8" spans="1:5" x14ac:dyDescent="0.25">
      <c r="E8" s="11"/>
    </row>
    <row r="9" spans="1:5" x14ac:dyDescent="0.25">
      <c r="A9" s="88" t="s">
        <v>82</v>
      </c>
      <c r="B9" s="11">
        <f>+B4+B6</f>
        <v>11160.4</v>
      </c>
      <c r="C9" s="11">
        <f t="shared" ref="C9:D9" si="0">+C4+C6</f>
        <v>4067.7000000000003</v>
      </c>
      <c r="D9" s="89">
        <f t="shared" si="0"/>
        <v>15228.1</v>
      </c>
      <c r="E9" s="11"/>
    </row>
    <row r="10" spans="1:5" x14ac:dyDescent="0.25">
      <c r="A10" s="88" t="s">
        <v>83</v>
      </c>
      <c r="B10" s="11">
        <f>+B5+B7</f>
        <v>4414236</v>
      </c>
      <c r="C10" s="11">
        <f t="shared" ref="C10:D10" si="1">+C5+C7</f>
        <v>1617390</v>
      </c>
      <c r="D10" s="89">
        <f t="shared" si="1"/>
        <v>6031626</v>
      </c>
      <c r="E10" s="11">
        <f>+D10/D9</f>
        <v>396.08526342747945</v>
      </c>
    </row>
  </sheetData>
  <mergeCells count="3">
    <mergeCell ref="A2:D2"/>
    <mergeCell ref="E1:E3"/>
    <mergeCell ref="A1:C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M31" sqref="M31"/>
    </sheetView>
  </sheetViews>
  <sheetFormatPr defaultRowHeight="15" x14ac:dyDescent="0.25"/>
  <cols>
    <col min="1" max="1" width="32.7109375" style="33" customWidth="1"/>
    <col min="2" max="2" width="18.140625" style="33" customWidth="1"/>
    <col min="3" max="3" width="14.28515625" style="33" customWidth="1"/>
    <col min="4" max="4" width="15.85546875" style="33" customWidth="1"/>
    <col min="5" max="5" width="12.7109375" style="33" customWidth="1"/>
    <col min="6" max="6" width="15.140625" style="33" customWidth="1"/>
    <col min="7" max="7" width="14.42578125" style="33" customWidth="1"/>
    <col min="8" max="8" width="16.42578125" style="33" customWidth="1"/>
    <col min="9" max="9" width="17.140625" style="33" customWidth="1"/>
    <col min="10" max="10" width="9.140625" style="33"/>
    <col min="11" max="11" width="12.42578125" style="33" bestFit="1" customWidth="1"/>
    <col min="12" max="12" width="11.42578125" style="33" bestFit="1" customWidth="1"/>
    <col min="13" max="13" width="10.42578125" style="33" bestFit="1" customWidth="1"/>
    <col min="14" max="16384" width="9.140625" style="33"/>
  </cols>
  <sheetData>
    <row r="1" spans="1:9" ht="29.25" customHeight="1" thickTop="1" thickBot="1" x14ac:dyDescent="0.3">
      <c r="A1" s="283" t="s">
        <v>172</v>
      </c>
      <c r="B1" s="284"/>
      <c r="C1" s="284"/>
      <c r="D1" s="284"/>
      <c r="E1" s="284"/>
      <c r="F1" s="284"/>
      <c r="G1" s="284"/>
      <c r="H1" s="284"/>
      <c r="I1" s="32" t="s">
        <v>139</v>
      </c>
    </row>
    <row r="2" spans="1:9" ht="16.5" thickTop="1" thickBot="1" x14ac:dyDescent="0.3">
      <c r="A2" s="34"/>
      <c r="B2" s="34"/>
      <c r="C2" s="34"/>
      <c r="D2" s="34"/>
      <c r="E2" s="34"/>
      <c r="F2" s="34"/>
      <c r="G2" s="34"/>
      <c r="H2" s="34"/>
      <c r="I2" s="34"/>
    </row>
    <row r="3" spans="1:9" ht="16.5" thickTop="1" thickBot="1" x14ac:dyDescent="0.3">
      <c r="A3" s="296" t="s">
        <v>89</v>
      </c>
      <c r="B3" s="297" t="s">
        <v>90</v>
      </c>
      <c r="C3" s="297"/>
      <c r="D3" s="297"/>
      <c r="E3" s="297"/>
      <c r="F3" s="297"/>
      <c r="G3" s="297"/>
      <c r="H3" s="297"/>
      <c r="I3" s="297"/>
    </row>
    <row r="4" spans="1:9" ht="16.5" thickTop="1" thickBot="1" x14ac:dyDescent="0.3">
      <c r="A4" s="296"/>
      <c r="B4" s="297" t="s">
        <v>91</v>
      </c>
      <c r="C4" s="297"/>
      <c r="D4" s="297" t="s">
        <v>81</v>
      </c>
      <c r="E4" s="297"/>
      <c r="F4" s="297" t="s">
        <v>80</v>
      </c>
      <c r="G4" s="297"/>
      <c r="H4" s="297" t="s">
        <v>19</v>
      </c>
      <c r="I4" s="297"/>
    </row>
    <row r="5" spans="1:9" ht="30" thickTop="1" thickBot="1" x14ac:dyDescent="0.3">
      <c r="A5" s="35" t="s">
        <v>92</v>
      </c>
      <c r="B5" s="36" t="s">
        <v>93</v>
      </c>
      <c r="C5" s="36" t="s">
        <v>94</v>
      </c>
      <c r="D5" s="36" t="s">
        <v>93</v>
      </c>
      <c r="E5" s="36" t="s">
        <v>94</v>
      </c>
      <c r="F5" s="36" t="s">
        <v>93</v>
      </c>
      <c r="G5" s="36" t="s">
        <v>94</v>
      </c>
      <c r="H5" s="36" t="s">
        <v>93</v>
      </c>
      <c r="I5" s="36" t="s">
        <v>94</v>
      </c>
    </row>
    <row r="6" spans="1:9" ht="15.75" thickTop="1" x14ac:dyDescent="0.25">
      <c r="A6" s="37" t="s">
        <v>95</v>
      </c>
      <c r="B6" s="38">
        <f>+'Földgáz '!Q14</f>
        <v>630523</v>
      </c>
      <c r="C6" s="38">
        <f>+B6/3.25/1000</f>
        <v>194.00707692307694</v>
      </c>
      <c r="D6" s="39">
        <v>0</v>
      </c>
      <c r="E6" s="39">
        <v>0</v>
      </c>
      <c r="F6" s="39">
        <v>0</v>
      </c>
      <c r="G6" s="38">
        <v>0</v>
      </c>
      <c r="H6" s="38">
        <f>+B6+D6+F6</f>
        <v>630523</v>
      </c>
      <c r="I6" s="38">
        <f>+G6+E6+C6</f>
        <v>194.00707692307694</v>
      </c>
    </row>
    <row r="7" spans="1:9" x14ac:dyDescent="0.25">
      <c r="A7" s="40" t="s">
        <v>184</v>
      </c>
      <c r="B7" s="41">
        <f>+'Villamos energia '!Q102</f>
        <v>638293</v>
      </c>
      <c r="C7" s="41">
        <f>+B7/1000</f>
        <v>638.29300000000001</v>
      </c>
      <c r="D7" s="42">
        <v>0</v>
      </c>
      <c r="E7" s="42">
        <v>0</v>
      </c>
      <c r="F7" s="42">
        <v>0</v>
      </c>
      <c r="G7" s="41">
        <v>0</v>
      </c>
      <c r="H7" s="41">
        <f>+F7+D7+B7</f>
        <v>638293</v>
      </c>
      <c r="I7" s="41">
        <f>+G7+E7+C7</f>
        <v>638.29300000000001</v>
      </c>
    </row>
    <row r="8" spans="1:9" x14ac:dyDescent="0.25">
      <c r="A8" s="40" t="s">
        <v>185</v>
      </c>
      <c r="B8" s="41">
        <f>+'Villamos energia '!T107</f>
        <v>55400</v>
      </c>
      <c r="C8" s="41">
        <f>+B8/1000</f>
        <v>55.4</v>
      </c>
      <c r="D8" s="42">
        <v>0</v>
      </c>
      <c r="E8" s="42">
        <v>0</v>
      </c>
      <c r="F8" s="42">
        <v>0</v>
      </c>
      <c r="G8" s="41">
        <v>0</v>
      </c>
      <c r="H8" s="41">
        <f>+F8+D8+B8</f>
        <v>55400</v>
      </c>
      <c r="I8" s="41">
        <f>+G8+E8+C8</f>
        <v>55.4</v>
      </c>
    </row>
    <row r="9" spans="1:9" x14ac:dyDescent="0.25">
      <c r="A9" s="40" t="s">
        <v>97</v>
      </c>
      <c r="B9" s="41">
        <v>0</v>
      </c>
      <c r="C9" s="41">
        <v>0</v>
      </c>
      <c r="D9" s="41">
        <f>+Üzemanyag!C6</f>
        <v>1223.6300000000001</v>
      </c>
      <c r="E9" s="41">
        <f>+D9*9.78305556/1000</f>
        <v>11.9708402748828</v>
      </c>
      <c r="F9" s="41">
        <f>+Üzemanyag!B6</f>
        <v>11055.55</v>
      </c>
      <c r="G9" s="41">
        <f>+F9*9.78305556/1000</f>
        <v>108.15705989635798</v>
      </c>
      <c r="H9" s="41">
        <f>+F9+D9+B9</f>
        <v>12279.18</v>
      </c>
      <c r="I9" s="41">
        <f>+G9+E9+C9</f>
        <v>120.12790017124078</v>
      </c>
    </row>
    <row r="10" spans="1:9" ht="15.75" thickBot="1" x14ac:dyDescent="0.3">
      <c r="A10" s="40" t="s">
        <v>98</v>
      </c>
      <c r="B10" s="41">
        <v>0</v>
      </c>
      <c r="C10" s="41">
        <v>0</v>
      </c>
      <c r="D10" s="42">
        <f>+Üzemanyag!C4</f>
        <v>2844.07</v>
      </c>
      <c r="E10" s="41">
        <f>+D10*9.78444444/1000</f>
        <v>27.827644898470801</v>
      </c>
      <c r="F10" s="41">
        <f>+Üzemanyag!B4</f>
        <v>104.85</v>
      </c>
      <c r="G10" s="41">
        <f>+F10*9.78444444/1000</f>
        <v>1.0258989995339998</v>
      </c>
      <c r="H10" s="41">
        <f>+F10+D10+B10</f>
        <v>2948.92</v>
      </c>
      <c r="I10" s="41">
        <f>+G10+E10+C10</f>
        <v>28.853543898004801</v>
      </c>
    </row>
    <row r="11" spans="1:9" ht="16.5" thickTop="1" thickBot="1" x14ac:dyDescent="0.3">
      <c r="A11" s="35" t="s">
        <v>19</v>
      </c>
      <c r="B11" s="36" t="s">
        <v>99</v>
      </c>
      <c r="C11" s="43">
        <f>SUM(C6:C10)</f>
        <v>887.70007692307695</v>
      </c>
      <c r="D11" s="36" t="s">
        <v>99</v>
      </c>
      <c r="E11" s="43">
        <f>SUM(E6:E10)</f>
        <v>39.798485173353598</v>
      </c>
      <c r="F11" s="36" t="s">
        <v>99</v>
      </c>
      <c r="G11" s="43">
        <f>SUM(G6:G10)</f>
        <v>109.18295889589197</v>
      </c>
      <c r="H11" s="36" t="s">
        <v>99</v>
      </c>
      <c r="I11" s="43">
        <f>SUM(I6:I10)</f>
        <v>1036.6815209923225</v>
      </c>
    </row>
    <row r="12" spans="1:9" ht="18.75" thickTop="1" thickBot="1" x14ac:dyDescent="0.3">
      <c r="A12" s="35" t="s">
        <v>100</v>
      </c>
      <c r="B12" s="45">
        <f>((C7*0.365)+(C6*0.203))/1000</f>
        <v>0.27236038161538462</v>
      </c>
      <c r="C12" s="45" t="s">
        <v>99</v>
      </c>
      <c r="D12" s="44">
        <f>+(E9*0.267+E10*0.249)/1000</f>
        <v>1.0125297933112938E-2</v>
      </c>
      <c r="E12" s="45" t="s">
        <v>99</v>
      </c>
      <c r="F12" s="44">
        <f>+(G9*0.267+G10*0.249)/1000</f>
        <v>2.9133383843211548E-2</v>
      </c>
      <c r="G12" s="45" t="s">
        <v>99</v>
      </c>
      <c r="H12" s="45">
        <f>+F12+D12+B12</f>
        <v>0.31161906339170908</v>
      </c>
      <c r="I12" s="45" t="s">
        <v>99</v>
      </c>
    </row>
    <row r="13" spans="1:9" ht="30" thickTop="1" thickBot="1" x14ac:dyDescent="0.3">
      <c r="A13" s="35" t="s">
        <v>101</v>
      </c>
      <c r="B13" s="43">
        <f>+'Villamos energia '!Q103+'Földgáz '!Q15</f>
        <v>26804555.443119999</v>
      </c>
      <c r="C13" s="46" t="s">
        <v>99</v>
      </c>
      <c r="D13" s="43">
        <f>(Üzemanyag!C7+Üzemanyag!C5)/1.27</f>
        <v>1273535.4330708662</v>
      </c>
      <c r="E13" s="46" t="s">
        <v>99</v>
      </c>
      <c r="F13" s="43">
        <f>(Üzemanyag!B5+Üzemanyag!B7)/1.27</f>
        <v>3475776.3779527559</v>
      </c>
      <c r="G13" s="46" t="s">
        <v>99</v>
      </c>
      <c r="H13" s="43">
        <f>+F13+D13+B13</f>
        <v>31553867.254143622</v>
      </c>
      <c r="I13" s="46" t="s">
        <v>99</v>
      </c>
    </row>
    <row r="14" spans="1:9" ht="16.5" thickTop="1" thickBot="1" x14ac:dyDescent="0.3">
      <c r="A14" s="47"/>
      <c r="B14" s="48"/>
      <c r="C14" s="48"/>
      <c r="D14" s="48"/>
      <c r="E14" s="48"/>
      <c r="F14" s="48"/>
      <c r="G14" s="48"/>
      <c r="H14" s="48"/>
      <c r="I14" s="48"/>
    </row>
    <row r="15" spans="1:9" ht="16.5" thickTop="1" thickBot="1" x14ac:dyDescent="0.3">
      <c r="A15" s="294" t="s">
        <v>102</v>
      </c>
      <c r="B15" s="283" t="s">
        <v>90</v>
      </c>
      <c r="C15" s="284"/>
      <c r="D15" s="284"/>
      <c r="E15" s="284"/>
      <c r="F15" s="284"/>
      <c r="G15" s="284"/>
      <c r="H15" s="284"/>
      <c r="I15" s="285"/>
    </row>
    <row r="16" spans="1:9" ht="16.5" thickTop="1" thickBot="1" x14ac:dyDescent="0.3">
      <c r="A16" s="295"/>
      <c r="B16" s="286" t="s">
        <v>91</v>
      </c>
      <c r="C16" s="286"/>
      <c r="D16" s="286" t="s">
        <v>81</v>
      </c>
      <c r="E16" s="286"/>
      <c r="F16" s="286" t="s">
        <v>80</v>
      </c>
      <c r="G16" s="286"/>
      <c r="H16" s="286" t="s">
        <v>19</v>
      </c>
      <c r="I16" s="286"/>
    </row>
    <row r="17" spans="1:9" ht="30" thickTop="1" thickBot="1" x14ac:dyDescent="0.3">
      <c r="A17" s="49" t="s">
        <v>103</v>
      </c>
      <c r="B17" s="293"/>
      <c r="C17" s="293"/>
      <c r="D17" s="287" t="s">
        <v>99</v>
      </c>
      <c r="E17" s="287"/>
      <c r="F17" s="287" t="s">
        <v>99</v>
      </c>
      <c r="G17" s="287"/>
      <c r="H17" s="293"/>
      <c r="I17" s="293"/>
    </row>
    <row r="18" spans="1:9" ht="30" thickTop="1" thickBot="1" x14ac:dyDescent="0.3">
      <c r="A18" s="49" t="s">
        <v>104</v>
      </c>
      <c r="B18" s="287" t="s">
        <v>99</v>
      </c>
      <c r="C18" s="287"/>
      <c r="D18" s="287" t="s">
        <v>99</v>
      </c>
      <c r="E18" s="287"/>
      <c r="F18" s="287" t="s">
        <v>99</v>
      </c>
      <c r="G18" s="287"/>
      <c r="H18" s="287" t="s">
        <v>99</v>
      </c>
      <c r="I18" s="287"/>
    </row>
    <row r="19" spans="1:9" ht="30" thickTop="1" thickBot="1" x14ac:dyDescent="0.3">
      <c r="A19" s="49" t="s">
        <v>105</v>
      </c>
      <c r="B19" s="291" t="s">
        <v>99</v>
      </c>
      <c r="C19" s="292"/>
      <c r="D19" s="287" t="s">
        <v>99</v>
      </c>
      <c r="E19" s="287"/>
      <c r="F19" s="287" t="s">
        <v>99</v>
      </c>
      <c r="G19" s="287"/>
      <c r="H19" s="291" t="s">
        <v>99</v>
      </c>
      <c r="I19" s="292"/>
    </row>
    <row r="20" spans="1:9" ht="16.5" thickTop="1" thickBot="1" x14ac:dyDescent="0.3">
      <c r="A20" s="49" t="s">
        <v>106</v>
      </c>
      <c r="B20" s="287"/>
      <c r="C20" s="287"/>
      <c r="D20" s="287" t="s">
        <v>99</v>
      </c>
      <c r="E20" s="287"/>
      <c r="F20" s="287" t="s">
        <v>99</v>
      </c>
      <c r="G20" s="287"/>
      <c r="H20" s="287"/>
      <c r="I20" s="287"/>
    </row>
    <row r="21" spans="1:9" ht="16.5" thickTop="1" thickBot="1" x14ac:dyDescent="0.3">
      <c r="A21" s="49" t="s">
        <v>107</v>
      </c>
      <c r="B21" s="288" t="s">
        <v>99</v>
      </c>
      <c r="C21" s="288"/>
      <c r="D21" s="287" t="s">
        <v>99</v>
      </c>
      <c r="E21" s="287"/>
      <c r="F21" s="287" t="s">
        <v>99</v>
      </c>
      <c r="G21" s="287"/>
      <c r="H21" s="288" t="s">
        <v>99</v>
      </c>
      <c r="I21" s="288"/>
    </row>
    <row r="22" spans="1:9" ht="30" thickTop="1" thickBot="1" x14ac:dyDescent="0.3">
      <c r="A22" s="50" t="s">
        <v>108</v>
      </c>
      <c r="B22" s="51" t="s">
        <v>93</v>
      </c>
      <c r="C22" s="51" t="s">
        <v>94</v>
      </c>
      <c r="D22" s="51" t="s">
        <v>93</v>
      </c>
      <c r="E22" s="51" t="s">
        <v>94</v>
      </c>
      <c r="F22" s="51" t="s">
        <v>93</v>
      </c>
      <c r="G22" s="51" t="s">
        <v>94</v>
      </c>
      <c r="H22" s="51" t="s">
        <v>93</v>
      </c>
      <c r="I22" s="51" t="s">
        <v>94</v>
      </c>
    </row>
    <row r="23" spans="1:9" ht="16.5" thickTop="1" thickBot="1" x14ac:dyDescent="0.3">
      <c r="A23" s="52" t="s">
        <v>96</v>
      </c>
      <c r="B23" s="53">
        <v>50000</v>
      </c>
      <c r="C23" s="53">
        <f>+B23/1000</f>
        <v>50</v>
      </c>
      <c r="D23" s="54" t="s">
        <v>99</v>
      </c>
      <c r="E23" s="54" t="s">
        <v>99</v>
      </c>
      <c r="F23" s="54" t="s">
        <v>99</v>
      </c>
      <c r="G23" s="54" t="s">
        <v>99</v>
      </c>
      <c r="H23" s="53">
        <f>+B23</f>
        <v>50000</v>
      </c>
      <c r="I23" s="53">
        <f>+C23</f>
        <v>50</v>
      </c>
    </row>
    <row r="24" spans="1:9" ht="16.5" thickTop="1" thickBot="1" x14ac:dyDescent="0.3">
      <c r="A24" s="49" t="s">
        <v>19</v>
      </c>
      <c r="B24" s="55" t="s">
        <v>99</v>
      </c>
      <c r="C24" s="56">
        <f>+C23</f>
        <v>50</v>
      </c>
      <c r="D24" s="55" t="s">
        <v>99</v>
      </c>
      <c r="E24" s="55" t="s">
        <v>99</v>
      </c>
      <c r="F24" s="55" t="s">
        <v>99</v>
      </c>
      <c r="G24" s="55" t="s">
        <v>99</v>
      </c>
      <c r="H24" s="55" t="s">
        <v>99</v>
      </c>
      <c r="I24" s="56">
        <f>+C24</f>
        <v>50</v>
      </c>
    </row>
    <row r="25" spans="1:9" ht="30" thickTop="1" thickBot="1" x14ac:dyDescent="0.3">
      <c r="A25" s="49" t="s">
        <v>176</v>
      </c>
      <c r="B25" s="51" t="s">
        <v>93</v>
      </c>
      <c r="C25" s="51" t="s">
        <v>94</v>
      </c>
      <c r="D25" s="51" t="s">
        <v>93</v>
      </c>
      <c r="E25" s="51" t="s">
        <v>94</v>
      </c>
      <c r="F25" s="51" t="s">
        <v>93</v>
      </c>
      <c r="G25" s="51" t="s">
        <v>94</v>
      </c>
      <c r="H25" s="51" t="s">
        <v>93</v>
      </c>
      <c r="I25" s="51" t="s">
        <v>94</v>
      </c>
    </row>
    <row r="26" spans="1:9" ht="16.5" thickTop="1" thickBot="1" x14ac:dyDescent="0.3">
      <c r="A26" s="52" t="s">
        <v>96</v>
      </c>
      <c r="B26" s="53">
        <f>+B8</f>
        <v>55400</v>
      </c>
      <c r="C26" s="53">
        <f>+B26/1000</f>
        <v>55.4</v>
      </c>
      <c r="D26" s="54" t="s">
        <v>99</v>
      </c>
      <c r="E26" s="54" t="s">
        <v>99</v>
      </c>
      <c r="F26" s="54" t="s">
        <v>99</v>
      </c>
      <c r="G26" s="54" t="s">
        <v>99</v>
      </c>
      <c r="H26" s="53">
        <f>+B26</f>
        <v>55400</v>
      </c>
      <c r="I26" s="53">
        <f>+C26</f>
        <v>55.4</v>
      </c>
    </row>
    <row r="27" spans="1:9" ht="16.5" thickTop="1" thickBot="1" x14ac:dyDescent="0.3">
      <c r="A27" s="49" t="s">
        <v>19</v>
      </c>
      <c r="B27" s="57" t="s">
        <v>99</v>
      </c>
      <c r="C27" s="56">
        <f>+C26</f>
        <v>55.4</v>
      </c>
      <c r="D27" s="57" t="s">
        <v>99</v>
      </c>
      <c r="E27" s="57" t="s">
        <v>99</v>
      </c>
      <c r="F27" s="57" t="s">
        <v>99</v>
      </c>
      <c r="G27" s="57" t="s">
        <v>99</v>
      </c>
      <c r="H27" s="57" t="s">
        <v>99</v>
      </c>
      <c r="I27" s="56">
        <f>+C27</f>
        <v>55.4</v>
      </c>
    </row>
    <row r="28" spans="1:9" ht="30" thickTop="1" thickBot="1" x14ac:dyDescent="0.3">
      <c r="A28" s="49" t="s">
        <v>186</v>
      </c>
      <c r="B28" s="58" t="s">
        <v>99</v>
      </c>
      <c r="C28" s="59">
        <f>+C27</f>
        <v>55.4</v>
      </c>
      <c r="D28" s="58" t="s">
        <v>99</v>
      </c>
      <c r="E28" s="58" t="s">
        <v>99</v>
      </c>
      <c r="F28" s="58" t="s">
        <v>99</v>
      </c>
      <c r="G28" s="58" t="s">
        <v>99</v>
      </c>
      <c r="H28" s="58" t="s">
        <v>99</v>
      </c>
      <c r="I28" s="59">
        <f>+I27</f>
        <v>55.4</v>
      </c>
    </row>
    <row r="29" spans="1:9" ht="44.25" thickTop="1" thickBot="1" x14ac:dyDescent="0.3">
      <c r="A29" s="49" t="s">
        <v>109</v>
      </c>
      <c r="B29" s="289">
        <v>2000</v>
      </c>
      <c r="C29" s="290"/>
      <c r="D29" s="287" t="s">
        <v>99</v>
      </c>
      <c r="E29" s="287"/>
      <c r="F29" s="287" t="s">
        <v>99</v>
      </c>
      <c r="G29" s="287"/>
      <c r="H29" s="288">
        <f>+B29</f>
        <v>2000</v>
      </c>
      <c r="I29" s="288"/>
    </row>
    <row r="30" spans="1:9" ht="44.25" thickTop="1" thickBot="1" x14ac:dyDescent="0.3">
      <c r="A30" s="49" t="s">
        <v>110</v>
      </c>
      <c r="B30" s="287" t="s">
        <v>99</v>
      </c>
      <c r="C30" s="287"/>
      <c r="D30" s="287" t="s">
        <v>99</v>
      </c>
      <c r="E30" s="287"/>
      <c r="F30" s="287" t="s">
        <v>99</v>
      </c>
      <c r="G30" s="287"/>
      <c r="H30" s="287" t="s">
        <v>99</v>
      </c>
      <c r="I30" s="287"/>
    </row>
    <row r="31" spans="1:9" ht="30" thickTop="1" thickBot="1" x14ac:dyDescent="0.3">
      <c r="A31" s="49" t="s">
        <v>111</v>
      </c>
      <c r="B31" s="288" t="s">
        <v>99</v>
      </c>
      <c r="C31" s="288"/>
      <c r="D31" s="287" t="s">
        <v>99</v>
      </c>
      <c r="E31" s="287"/>
      <c r="F31" s="287" t="s">
        <v>99</v>
      </c>
      <c r="G31" s="287"/>
      <c r="H31" s="288" t="s">
        <v>99</v>
      </c>
      <c r="I31" s="288"/>
    </row>
    <row r="32" spans="1:9" ht="44.25" thickTop="1" thickBot="1" x14ac:dyDescent="0.3">
      <c r="A32" s="49" t="s">
        <v>112</v>
      </c>
      <c r="B32" s="287"/>
      <c r="C32" s="287"/>
      <c r="D32" s="287" t="s">
        <v>99</v>
      </c>
      <c r="E32" s="287"/>
      <c r="F32" s="287" t="s">
        <v>99</v>
      </c>
      <c r="G32" s="287"/>
      <c r="H32" s="287"/>
      <c r="I32" s="287"/>
    </row>
    <row r="33" spans="1:9" ht="30" thickTop="1" thickBot="1" x14ac:dyDescent="0.3">
      <c r="A33" s="49" t="s">
        <v>113</v>
      </c>
      <c r="B33" s="287"/>
      <c r="C33" s="287"/>
      <c r="D33" s="287" t="s">
        <v>99</v>
      </c>
      <c r="E33" s="287"/>
      <c r="F33" s="287" t="s">
        <v>99</v>
      </c>
      <c r="G33" s="287"/>
      <c r="H33" s="287"/>
      <c r="I33" s="287"/>
    </row>
    <row r="34" spans="1:9" ht="16.5" thickTop="1" thickBot="1" x14ac:dyDescent="0.3">
      <c r="A34" s="47"/>
      <c r="B34" s="48"/>
      <c r="C34" s="48"/>
      <c r="D34" s="48"/>
      <c r="E34" s="48"/>
      <c r="F34" s="48"/>
      <c r="G34" s="48"/>
      <c r="H34" s="48"/>
      <c r="I34" s="48"/>
    </row>
    <row r="35" spans="1:9" ht="16.5" thickTop="1" thickBot="1" x14ac:dyDescent="0.3">
      <c r="A35" s="281" t="s">
        <v>114</v>
      </c>
      <c r="B35" s="283" t="s">
        <v>90</v>
      </c>
      <c r="C35" s="284"/>
      <c r="D35" s="284"/>
      <c r="E35" s="284"/>
      <c r="F35" s="284"/>
      <c r="G35" s="284"/>
      <c r="H35" s="284"/>
      <c r="I35" s="285"/>
    </row>
    <row r="36" spans="1:9" ht="16.5" thickTop="1" thickBot="1" x14ac:dyDescent="0.3">
      <c r="A36" s="282"/>
      <c r="B36" s="286" t="s">
        <v>91</v>
      </c>
      <c r="C36" s="286"/>
      <c r="D36" s="286" t="s">
        <v>81</v>
      </c>
      <c r="E36" s="286"/>
      <c r="F36" s="286" t="s">
        <v>80</v>
      </c>
      <c r="G36" s="286"/>
      <c r="H36" s="286" t="s">
        <v>19</v>
      </c>
      <c r="I36" s="286"/>
    </row>
    <row r="37" spans="1:9" ht="16.5" thickTop="1" thickBot="1" x14ac:dyDescent="0.3">
      <c r="A37" s="60" t="s">
        <v>115</v>
      </c>
      <c r="B37" s="279" t="s">
        <v>99</v>
      </c>
      <c r="C37" s="279"/>
      <c r="D37" s="279" t="s">
        <v>99</v>
      </c>
      <c r="E37" s="279"/>
      <c r="F37" s="279" t="s">
        <v>99</v>
      </c>
      <c r="G37" s="279"/>
      <c r="H37" s="279" t="s">
        <v>99</v>
      </c>
      <c r="I37" s="279"/>
    </row>
    <row r="38" spans="1:9" ht="16.5" thickTop="1" thickBot="1" x14ac:dyDescent="0.3">
      <c r="A38" s="60" t="s">
        <v>116</v>
      </c>
      <c r="B38" s="279" t="s">
        <v>99</v>
      </c>
      <c r="C38" s="279"/>
      <c r="D38" s="279" t="s">
        <v>99</v>
      </c>
      <c r="E38" s="279"/>
      <c r="F38" s="279" t="s">
        <v>99</v>
      </c>
      <c r="G38" s="279"/>
      <c r="H38" s="279" t="s">
        <v>99</v>
      </c>
      <c r="I38" s="279"/>
    </row>
    <row r="39" spans="1:9" ht="16.5" thickTop="1" thickBot="1" x14ac:dyDescent="0.3">
      <c r="A39" s="60" t="s">
        <v>117</v>
      </c>
      <c r="B39" s="279" t="s">
        <v>99</v>
      </c>
      <c r="C39" s="279"/>
      <c r="D39" s="279" t="s">
        <v>99</v>
      </c>
      <c r="E39" s="279"/>
      <c r="F39" s="279" t="s">
        <v>99</v>
      </c>
      <c r="G39" s="279"/>
      <c r="H39" s="279" t="s">
        <v>99</v>
      </c>
      <c r="I39" s="279"/>
    </row>
    <row r="40" spans="1:9" ht="16.5" thickTop="1" thickBot="1" x14ac:dyDescent="0.3">
      <c r="A40" s="280" t="s">
        <v>118</v>
      </c>
      <c r="B40" s="61" t="s">
        <v>119</v>
      </c>
      <c r="C40" s="61" t="s">
        <v>120</v>
      </c>
      <c r="D40" s="61" t="s">
        <v>119</v>
      </c>
      <c r="E40" s="61" t="s">
        <v>120</v>
      </c>
      <c r="F40" s="61" t="s">
        <v>119</v>
      </c>
      <c r="G40" s="61" t="s">
        <v>120</v>
      </c>
      <c r="H40" s="61" t="s">
        <v>119</v>
      </c>
      <c r="I40" s="61" t="s">
        <v>120</v>
      </c>
    </row>
    <row r="41" spans="1:9" ht="16.5" thickTop="1" thickBot="1" x14ac:dyDescent="0.3">
      <c r="A41" s="280"/>
      <c r="B41" s="62" t="s">
        <v>99</v>
      </c>
      <c r="C41" s="62" t="s">
        <v>99</v>
      </c>
      <c r="D41" s="62" t="s">
        <v>99</v>
      </c>
      <c r="E41" s="62" t="s">
        <v>99</v>
      </c>
      <c r="F41" s="62" t="s">
        <v>99</v>
      </c>
      <c r="G41" s="62" t="s">
        <v>99</v>
      </c>
      <c r="H41" s="62" t="s">
        <v>99</v>
      </c>
      <c r="I41" s="62" t="s">
        <v>99</v>
      </c>
    </row>
    <row r="42" spans="1:9" ht="15.75" thickTop="1" x14ac:dyDescent="0.25"/>
  </sheetData>
  <mergeCells count="72">
    <mergeCell ref="A1:H1"/>
    <mergeCell ref="A15:A16"/>
    <mergeCell ref="B15:I15"/>
    <mergeCell ref="B16:C16"/>
    <mergeCell ref="D16:E16"/>
    <mergeCell ref="F16:G16"/>
    <mergeCell ref="H16:I16"/>
    <mergeCell ref="A3:A4"/>
    <mergeCell ref="B3:I3"/>
    <mergeCell ref="B4:C4"/>
    <mergeCell ref="D4:E4"/>
    <mergeCell ref="F4:G4"/>
    <mergeCell ref="H4:I4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A35:A36"/>
    <mergeCell ref="B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A40:A4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G9" sqref="G9"/>
    </sheetView>
  </sheetViews>
  <sheetFormatPr defaultRowHeight="14.25" x14ac:dyDescent="0.25"/>
  <cols>
    <col min="1" max="1" width="40.5703125" style="63" customWidth="1"/>
    <col min="2" max="2" width="27.140625" style="63" customWidth="1"/>
    <col min="3" max="3" width="26.42578125" style="63" customWidth="1"/>
    <col min="4" max="4" width="13.140625" style="63" bestFit="1" customWidth="1"/>
    <col min="5" max="16384" width="9.140625" style="63"/>
  </cols>
  <sheetData>
    <row r="1" spans="1:3" ht="31.5" customHeight="1" thickTop="1" thickBot="1" x14ac:dyDescent="0.3">
      <c r="A1" s="300" t="s">
        <v>170</v>
      </c>
      <c r="B1" s="301"/>
      <c r="C1" s="302"/>
    </row>
    <row r="2" spans="1:3" ht="16.5" thickTop="1" thickBot="1" x14ac:dyDescent="0.3">
      <c r="A2" s="64"/>
      <c r="B2" s="64"/>
      <c r="C2" s="64"/>
    </row>
    <row r="3" spans="1:3" ht="15" customHeight="1" thickTop="1" x14ac:dyDescent="0.25">
      <c r="A3" s="303" t="s">
        <v>210</v>
      </c>
      <c r="B3" s="304"/>
      <c r="C3" s="305"/>
    </row>
    <row r="4" spans="1:3" ht="15" customHeight="1" thickBot="1" x14ac:dyDescent="0.3">
      <c r="A4" s="306"/>
      <c r="B4" s="307"/>
      <c r="C4" s="308"/>
    </row>
    <row r="5" spans="1:3" ht="26.25" customHeight="1" thickTop="1" thickBot="1" x14ac:dyDescent="0.3">
      <c r="A5" s="65" t="s">
        <v>121</v>
      </c>
      <c r="B5" s="309" t="s">
        <v>188</v>
      </c>
      <c r="C5" s="309"/>
    </row>
    <row r="6" spans="1:3" ht="28.5" customHeight="1" thickTop="1" thickBot="1" x14ac:dyDescent="0.3">
      <c r="A6" s="65" t="s">
        <v>122</v>
      </c>
      <c r="B6" s="310">
        <v>2014</v>
      </c>
      <c r="C6" s="311"/>
    </row>
    <row r="7" spans="1:3" ht="31.5" thickTop="1" thickBot="1" x14ac:dyDescent="0.3">
      <c r="A7" s="65" t="s">
        <v>123</v>
      </c>
      <c r="B7" s="66" t="s">
        <v>93</v>
      </c>
      <c r="C7" s="66" t="s">
        <v>94</v>
      </c>
    </row>
    <row r="8" spans="1:3" ht="21.75" customHeight="1" thickTop="1" thickBot="1" x14ac:dyDescent="0.3">
      <c r="A8" s="67" t="s">
        <v>187</v>
      </c>
      <c r="B8" s="167">
        <f>+'Adatok 22.C-hez'!H23</f>
        <v>50000</v>
      </c>
      <c r="C8" s="68">
        <f>+B8/1000</f>
        <v>50</v>
      </c>
    </row>
    <row r="9" spans="1:3" ht="16.5" thickTop="1" thickBot="1" x14ac:dyDescent="0.3">
      <c r="A9" s="65" t="s">
        <v>19</v>
      </c>
      <c r="B9" s="69" t="s">
        <v>99</v>
      </c>
      <c r="C9" s="70">
        <f>SUM(C8:C8)</f>
        <v>50</v>
      </c>
    </row>
    <row r="10" spans="1:3" ht="29.25" customHeight="1" thickTop="1" thickBot="1" x14ac:dyDescent="0.3">
      <c r="A10" s="312" t="s">
        <v>171</v>
      </c>
      <c r="B10" s="313"/>
      <c r="C10" s="314"/>
    </row>
    <row r="11" spans="1:3" ht="20.25" customHeight="1" thickTop="1" thickBot="1" x14ac:dyDescent="0.3">
      <c r="A11" s="71" t="s">
        <v>187</v>
      </c>
      <c r="B11" s="167">
        <f>+'Adatok 22.C-hez'!H26</f>
        <v>55400</v>
      </c>
      <c r="C11" s="68">
        <f>+B11/1000</f>
        <v>55.4</v>
      </c>
    </row>
    <row r="12" spans="1:3" ht="22.5" customHeight="1" thickTop="1" thickBot="1" x14ac:dyDescent="0.3">
      <c r="A12" s="65" t="s">
        <v>19</v>
      </c>
      <c r="B12" s="69" t="s">
        <v>99</v>
      </c>
      <c r="C12" s="70">
        <f>SUM(C11:C11)</f>
        <v>55.4</v>
      </c>
    </row>
    <row r="13" spans="1:3" ht="16.5" thickTop="1" thickBot="1" x14ac:dyDescent="0.3">
      <c r="A13" s="72"/>
      <c r="B13" s="64"/>
      <c r="C13" s="64"/>
    </row>
    <row r="14" spans="1:3" ht="15" customHeight="1" thickTop="1" x14ac:dyDescent="0.25">
      <c r="A14" s="315" t="s">
        <v>124</v>
      </c>
      <c r="B14" s="316"/>
      <c r="C14" s="317"/>
    </row>
    <row r="15" spans="1:3" ht="15" customHeight="1" thickBot="1" x14ac:dyDescent="0.3">
      <c r="A15" s="318"/>
      <c r="B15" s="319"/>
      <c r="C15" s="320"/>
    </row>
    <row r="16" spans="1:3" ht="16.5" thickTop="1" thickBot="1" x14ac:dyDescent="0.3">
      <c r="A16" s="73" t="s">
        <v>115</v>
      </c>
      <c r="B16" s="298" t="s">
        <v>99</v>
      </c>
      <c r="C16" s="298"/>
    </row>
    <row r="17" spans="1:3" ht="16.5" thickTop="1" thickBot="1" x14ac:dyDescent="0.3">
      <c r="A17" s="73" t="s">
        <v>116</v>
      </c>
      <c r="B17" s="298" t="s">
        <v>99</v>
      </c>
      <c r="C17" s="298"/>
    </row>
    <row r="18" spans="1:3" ht="16.5" thickTop="1" thickBot="1" x14ac:dyDescent="0.3">
      <c r="A18" s="73" t="s">
        <v>117</v>
      </c>
      <c r="B18" s="298" t="s">
        <v>99</v>
      </c>
      <c r="C18" s="298"/>
    </row>
    <row r="19" spans="1:3" ht="16.5" thickTop="1" thickBot="1" x14ac:dyDescent="0.3">
      <c r="A19" s="299" t="s">
        <v>118</v>
      </c>
      <c r="B19" s="74" t="s">
        <v>119</v>
      </c>
      <c r="C19" s="74" t="s">
        <v>120</v>
      </c>
    </row>
    <row r="20" spans="1:3" ht="15.75" thickTop="1" thickBot="1" x14ac:dyDescent="0.3">
      <c r="A20" s="299"/>
      <c r="B20" s="75" t="s">
        <v>99</v>
      </c>
      <c r="C20" s="75" t="s">
        <v>99</v>
      </c>
    </row>
    <row r="21" spans="1:3" ht="15" thickTop="1" x14ac:dyDescent="0.25"/>
  </sheetData>
  <mergeCells count="10">
    <mergeCell ref="B16:C16"/>
    <mergeCell ref="B17:C17"/>
    <mergeCell ref="B18:C18"/>
    <mergeCell ref="A19:A20"/>
    <mergeCell ref="A1:C1"/>
    <mergeCell ref="A3:C4"/>
    <mergeCell ref="B5:C5"/>
    <mergeCell ref="B6:C6"/>
    <mergeCell ref="A10:C10"/>
    <mergeCell ref="A14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Földgáz </vt:lpstr>
      <vt:lpstr>Villamos energia </vt:lpstr>
      <vt:lpstr>Üzemanyag</vt:lpstr>
      <vt:lpstr>Adatok 22.C-hez</vt:lpstr>
      <vt:lpstr>Honlapra 2020. május 31-ig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NoteBook</dc:creator>
  <cp:lastModifiedBy>vzsuzsa</cp:lastModifiedBy>
  <cp:lastPrinted>2018-05-29T14:02:55Z</cp:lastPrinted>
  <dcterms:created xsi:type="dcterms:W3CDTF">2017-05-07T18:10:51Z</dcterms:created>
  <dcterms:modified xsi:type="dcterms:W3CDTF">2020-05-20T07:07:24Z</dcterms:modified>
</cp:coreProperties>
</file>